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D716A241-C3C6-B642-83B1-20BA3655C31C}" xr6:coauthVersionLast="47" xr6:coauthVersionMax="47" xr10:uidLastSave="{00000000-0000-0000-0000-000000000000}"/>
  <bookViews>
    <workbookView xWindow="5080" yWindow="460" windowWidth="20520" windowHeight="11560" xr2:uid="{00000000-000D-0000-FFFF-FFFF00000000}"/>
  </bookViews>
  <sheets>
    <sheet name="16.4pp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79" i="2" l="1"/>
  <c r="P80" i="2"/>
  <c r="P81" i="2"/>
  <c r="P82" i="2"/>
  <c r="P83" i="2"/>
  <c r="P84" i="2"/>
  <c r="P78" i="2"/>
  <c r="U43" i="2"/>
  <c r="U44" i="2"/>
  <c r="U45" i="2"/>
  <c r="U46" i="2"/>
  <c r="U47" i="2"/>
  <c r="U48" i="2"/>
  <c r="U42" i="2"/>
  <c r="E34" i="2" l="1"/>
  <c r="B24" i="2" l="1"/>
  <c r="E23" i="2"/>
  <c r="C23" i="2"/>
  <c r="E22" i="2"/>
  <c r="C22" i="2"/>
  <c r="E21" i="2"/>
  <c r="C21" i="2"/>
  <c r="E20" i="2"/>
  <c r="C20" i="2"/>
  <c r="C18" i="2"/>
  <c r="F18" i="2" s="1"/>
  <c r="G18" i="2" s="1"/>
  <c r="N4" i="2"/>
  <c r="N3" i="2"/>
  <c r="B84" i="2"/>
  <c r="E83" i="2"/>
  <c r="C83" i="2"/>
  <c r="E82" i="2"/>
  <c r="C82" i="2"/>
  <c r="E81" i="2"/>
  <c r="C81" i="2"/>
  <c r="E80" i="2"/>
  <c r="C80" i="2"/>
  <c r="C78" i="2"/>
  <c r="F78" i="2" s="1"/>
  <c r="G78" i="2" s="1"/>
  <c r="B72" i="2"/>
  <c r="E71" i="2"/>
  <c r="C71" i="2"/>
  <c r="E70" i="2"/>
  <c r="C70" i="2"/>
  <c r="E69" i="2"/>
  <c r="C69" i="2"/>
  <c r="E68" i="2"/>
  <c r="C68" i="2"/>
  <c r="C66" i="2"/>
  <c r="F66" i="2" s="1"/>
  <c r="G66" i="2" s="1"/>
  <c r="B60" i="2"/>
  <c r="E59" i="2"/>
  <c r="C59" i="2"/>
  <c r="E58" i="2"/>
  <c r="C58" i="2"/>
  <c r="E57" i="2"/>
  <c r="C57" i="2"/>
  <c r="E56" i="2"/>
  <c r="C56" i="2"/>
  <c r="C54" i="2"/>
  <c r="F54" i="2" s="1"/>
  <c r="G54" i="2" s="1"/>
  <c r="B48" i="2"/>
  <c r="E47" i="2"/>
  <c r="C47" i="2"/>
  <c r="E46" i="2"/>
  <c r="C46" i="2"/>
  <c r="E45" i="2"/>
  <c r="C45" i="2"/>
  <c r="E44" i="2"/>
  <c r="C44" i="2"/>
  <c r="C42" i="2"/>
  <c r="F42" i="2" s="1"/>
  <c r="G42" i="2" s="1"/>
  <c r="F20" i="2" l="1"/>
  <c r="G20" i="2" s="1"/>
  <c r="F21" i="2"/>
  <c r="G21" i="2" s="1"/>
  <c r="F23" i="2"/>
  <c r="G23" i="2" s="1"/>
  <c r="F19" i="2"/>
  <c r="E19" i="2" s="1"/>
  <c r="F22" i="2"/>
  <c r="G22" i="2" s="1"/>
  <c r="F68" i="2"/>
  <c r="G68" i="2" s="1"/>
  <c r="F59" i="2"/>
  <c r="G59" i="2" s="1"/>
  <c r="F80" i="2"/>
  <c r="G80" i="2" s="1"/>
  <c r="F82" i="2"/>
  <c r="G82" i="2" s="1"/>
  <c r="F44" i="2"/>
  <c r="G44" i="2" s="1"/>
  <c r="F47" i="2"/>
  <c r="G47" i="2" s="1"/>
  <c r="F55" i="2"/>
  <c r="E55" i="2" s="1"/>
  <c r="F81" i="2"/>
  <c r="G81" i="2" s="1"/>
  <c r="F79" i="2"/>
  <c r="E79" i="2" s="1"/>
  <c r="F83" i="2"/>
  <c r="G83" i="2" s="1"/>
  <c r="F70" i="2"/>
  <c r="G70" i="2" s="1"/>
  <c r="F69" i="2"/>
  <c r="G69" i="2" s="1"/>
  <c r="F67" i="2"/>
  <c r="E67" i="2" s="1"/>
  <c r="F71" i="2"/>
  <c r="G71" i="2" s="1"/>
  <c r="F57" i="2"/>
  <c r="G57" i="2" s="1"/>
  <c r="F56" i="2"/>
  <c r="G56" i="2" s="1"/>
  <c r="F58" i="2"/>
  <c r="G58" i="2" s="1"/>
  <c r="F43" i="2"/>
  <c r="E43" i="2" s="1"/>
  <c r="F46" i="2"/>
  <c r="G46" i="2" s="1"/>
  <c r="F45" i="2"/>
  <c r="G45" i="2"/>
  <c r="E33" i="2"/>
  <c r="C33" i="2"/>
  <c r="C32" i="2"/>
  <c r="C34" i="2"/>
  <c r="E60" i="2" l="1"/>
  <c r="E24" i="2"/>
  <c r="I19" i="2" s="1"/>
  <c r="G19" i="2"/>
  <c r="D19" i="2"/>
  <c r="H18" i="2"/>
  <c r="H54" i="2"/>
  <c r="D55" i="2"/>
  <c r="H60" i="2" s="1"/>
  <c r="G55" i="2"/>
  <c r="G79" i="2"/>
  <c r="E84" i="2"/>
  <c r="I79" i="2" s="1"/>
  <c r="D79" i="2"/>
  <c r="H78" i="2"/>
  <c r="G67" i="2"/>
  <c r="E72" i="2"/>
  <c r="I67" i="2" s="1"/>
  <c r="H66" i="2"/>
  <c r="D67" i="2"/>
  <c r="G43" i="2"/>
  <c r="H42" i="2"/>
  <c r="E48" i="2"/>
  <c r="I43" i="2" s="1"/>
  <c r="D43" i="2"/>
  <c r="F33" i="2"/>
  <c r="G33" i="2" s="1"/>
  <c r="F34" i="2"/>
  <c r="G34" i="2" s="1"/>
  <c r="I24" i="2" l="1"/>
  <c r="I18" i="2"/>
  <c r="I21" i="2"/>
  <c r="I22" i="2"/>
  <c r="I23" i="2"/>
  <c r="I20" i="2"/>
  <c r="I84" i="2"/>
  <c r="I81" i="2"/>
  <c r="I83" i="2"/>
  <c r="I82" i="2"/>
  <c r="I78" i="2"/>
  <c r="I80" i="2"/>
  <c r="I70" i="2"/>
  <c r="I72" i="2"/>
  <c r="I69" i="2"/>
  <c r="I71" i="2"/>
  <c r="I66" i="2"/>
  <c r="I68" i="2"/>
  <c r="D6" i="2"/>
  <c r="I58" i="2"/>
  <c r="I54" i="2"/>
  <c r="I57" i="2"/>
  <c r="I59" i="2"/>
  <c r="I60" i="2"/>
  <c r="I56" i="2"/>
  <c r="I55" i="2"/>
  <c r="C6" i="2"/>
  <c r="I48" i="2"/>
  <c r="I45" i="2"/>
  <c r="I42" i="2"/>
  <c r="I46" i="2"/>
  <c r="I47" i="2"/>
  <c r="I44" i="2"/>
  <c r="G6" i="2"/>
  <c r="E10" i="2"/>
  <c r="E9" i="2"/>
  <c r="E5" i="2"/>
  <c r="E7" i="2"/>
  <c r="E8" i="2"/>
  <c r="F5" i="2"/>
  <c r="F8" i="2"/>
  <c r="F9" i="2"/>
  <c r="F10" i="2"/>
  <c r="F7" i="2"/>
  <c r="D7" i="2"/>
  <c r="D8" i="2"/>
  <c r="D5" i="2"/>
  <c r="D9" i="2"/>
  <c r="D10" i="2"/>
  <c r="G5" i="2"/>
  <c r="G7" i="2"/>
  <c r="G8" i="2"/>
  <c r="G9" i="2"/>
  <c r="G10" i="2"/>
  <c r="C7" i="2"/>
  <c r="C9" i="2"/>
  <c r="C5" i="2"/>
  <c r="C10" i="2"/>
  <c r="C8" i="2"/>
  <c r="F6" i="2"/>
  <c r="F60" i="2"/>
  <c r="G60" i="2" s="1"/>
  <c r="H56" i="2" s="1"/>
  <c r="E6" i="2"/>
  <c r="E11" i="2" s="1"/>
  <c r="D24" i="2"/>
  <c r="H24" i="2"/>
  <c r="F24" i="2"/>
  <c r="G24" i="2" s="1"/>
  <c r="H20" i="2" s="1"/>
  <c r="D60" i="2"/>
  <c r="H84" i="2"/>
  <c r="D84" i="2"/>
  <c r="F84" i="2"/>
  <c r="G84" i="2" s="1"/>
  <c r="H80" i="2" s="1"/>
  <c r="F72" i="2"/>
  <c r="G72" i="2" s="1"/>
  <c r="H68" i="2" s="1"/>
  <c r="H72" i="2"/>
  <c r="D72" i="2"/>
  <c r="F48" i="2"/>
  <c r="G48" i="2" s="1"/>
  <c r="H44" i="2" s="1"/>
  <c r="D48" i="2"/>
  <c r="H48" i="2"/>
  <c r="G11" i="2" l="1"/>
  <c r="F11" i="2"/>
  <c r="C30" i="2"/>
  <c r="B36" i="2"/>
  <c r="E35" i="2"/>
  <c r="C35" i="2"/>
  <c r="E32" i="2"/>
  <c r="F31" i="2" l="1"/>
  <c r="F30" i="2"/>
  <c r="G30" i="2" s="1"/>
  <c r="F32" i="2"/>
  <c r="G32" i="2" s="1"/>
  <c r="F35" i="2"/>
  <c r="G35" i="2" s="1"/>
  <c r="C11" i="2" l="1"/>
  <c r="E31" i="2"/>
  <c r="H30" i="2" l="1"/>
  <c r="E36" i="2"/>
  <c r="D31" i="2"/>
  <c r="H36" i="2" s="1"/>
  <c r="D11" i="2"/>
  <c r="G31" i="2"/>
  <c r="B5" i="2" l="1"/>
  <c r="J20" i="2"/>
  <c r="J18" i="2"/>
  <c r="J21" i="2"/>
  <c r="J22" i="2"/>
  <c r="J23" i="2"/>
  <c r="B9" i="2"/>
  <c r="J19" i="2"/>
  <c r="B8" i="2"/>
  <c r="J24" i="2"/>
  <c r="B10" i="2"/>
  <c r="B7" i="2"/>
  <c r="B6" i="2"/>
  <c r="I34" i="2"/>
  <c r="I36" i="2"/>
  <c r="I33" i="2"/>
  <c r="I35" i="2"/>
  <c r="J35" i="2" s="1"/>
  <c r="I32" i="2"/>
  <c r="J32" i="2" s="1"/>
  <c r="I31" i="2"/>
  <c r="J31" i="2" s="1"/>
  <c r="I30" i="2"/>
  <c r="J30" i="2" s="1"/>
  <c r="D36" i="2"/>
  <c r="F36" i="2"/>
  <c r="G36" i="2" s="1"/>
  <c r="H32" i="2" s="1"/>
  <c r="S19" i="2" l="1"/>
  <c r="S21" i="2"/>
  <c r="S18" i="2"/>
  <c r="S24" i="2"/>
  <c r="S23" i="2"/>
  <c r="S20" i="2"/>
  <c r="S22" i="2"/>
  <c r="O18" i="2"/>
  <c r="Q18" i="2"/>
  <c r="O23" i="2"/>
  <c r="Q23" i="2"/>
  <c r="O21" i="2"/>
  <c r="Q21" i="2"/>
  <c r="O20" i="2"/>
  <c r="Q20" i="2"/>
  <c r="O24" i="2"/>
  <c r="J25" i="2"/>
  <c r="Q24" i="2"/>
  <c r="O19" i="2"/>
  <c r="Q19" i="2"/>
  <c r="O22" i="2"/>
  <c r="Q22" i="2"/>
  <c r="B11" i="2"/>
  <c r="J47" i="2"/>
  <c r="T47" i="2" s="1"/>
  <c r="J79" i="2"/>
  <c r="O79" i="2" s="1"/>
  <c r="J34" i="2"/>
  <c r="J70" i="2"/>
  <c r="J69" i="2"/>
  <c r="J55" i="2"/>
  <c r="T55" i="2" s="1"/>
  <c r="J72" i="2"/>
  <c r="J57" i="2"/>
  <c r="T57" i="2" s="1"/>
  <c r="J58" i="2"/>
  <c r="T58" i="2" s="1"/>
  <c r="J60" i="2"/>
  <c r="T60" i="2" s="1"/>
  <c r="J54" i="2"/>
  <c r="T54" i="2" s="1"/>
  <c r="J59" i="2"/>
  <c r="T59" i="2" s="1"/>
  <c r="J83" i="2"/>
  <c r="O83" i="2" s="1"/>
  <c r="J71" i="2"/>
  <c r="J66" i="2"/>
  <c r="J33" i="2"/>
  <c r="J42" i="2"/>
  <c r="T42" i="2" s="1"/>
  <c r="J48" i="2"/>
  <c r="T48" i="2" s="1"/>
  <c r="J46" i="2"/>
  <c r="T46" i="2" s="1"/>
  <c r="J68" i="2"/>
  <c r="J67" i="2"/>
  <c r="J43" i="2"/>
  <c r="T43" i="2" s="1"/>
  <c r="J81" i="2"/>
  <c r="O81" i="2" s="1"/>
  <c r="J78" i="2"/>
  <c r="O78" i="2" s="1"/>
  <c r="J82" i="2"/>
  <c r="O82" i="2" s="1"/>
  <c r="J56" i="2"/>
  <c r="T56" i="2" s="1"/>
  <c r="J45" i="2"/>
  <c r="T45" i="2" s="1"/>
  <c r="J84" i="2"/>
  <c r="O84" i="2" s="1"/>
  <c r="J44" i="2"/>
  <c r="T44" i="2" s="1"/>
  <c r="J80" i="2"/>
  <c r="O80" i="2" s="1"/>
  <c r="J36" i="2"/>
  <c r="Q68" i="2" l="1"/>
  <c r="Q70" i="2"/>
  <c r="Q66" i="2"/>
  <c r="Q72" i="2"/>
  <c r="Q71" i="2"/>
  <c r="Q67" i="2"/>
  <c r="Q69" i="2"/>
  <c r="O68" i="2"/>
  <c r="P68" i="2"/>
  <c r="O70" i="2"/>
  <c r="P70" i="2"/>
  <c r="O71" i="2"/>
  <c r="P71" i="2"/>
  <c r="O66" i="2"/>
  <c r="P66" i="2"/>
  <c r="O72" i="2"/>
  <c r="J73" i="2"/>
  <c r="P72" i="2"/>
  <c r="S25" i="2"/>
  <c r="O67" i="2"/>
  <c r="P67" i="2"/>
  <c r="O69" i="2"/>
  <c r="P69" i="2"/>
  <c r="Q58" i="2"/>
  <c r="S58" i="2" s="1"/>
  <c r="O58" i="2"/>
  <c r="O57" i="2"/>
  <c r="Q57" i="2"/>
  <c r="S57" i="2" s="1"/>
  <c r="Q59" i="2"/>
  <c r="S59" i="2" s="1"/>
  <c r="O59" i="2"/>
  <c r="Q54" i="2"/>
  <c r="S54" i="2" s="1"/>
  <c r="O54" i="2"/>
  <c r="J49" i="2"/>
  <c r="T49" i="2" s="1"/>
  <c r="O48" i="2"/>
  <c r="Q48" i="2"/>
  <c r="S48" i="2" s="1"/>
  <c r="O43" i="2"/>
  <c r="Q43" i="2"/>
  <c r="S43" i="2" s="1"/>
  <c r="O44" i="2"/>
  <c r="Q44" i="2"/>
  <c r="S44" i="2" s="1"/>
  <c r="O47" i="2"/>
  <c r="Q47" i="2"/>
  <c r="S47" i="2" s="1"/>
  <c r="O46" i="2"/>
  <c r="Q46" i="2"/>
  <c r="S46" i="2" s="1"/>
  <c r="O45" i="2"/>
  <c r="Q45" i="2"/>
  <c r="S45" i="2" s="1"/>
  <c r="Q42" i="2"/>
  <c r="S42" i="2" s="1"/>
  <c r="O42" i="2"/>
  <c r="O25" i="2"/>
  <c r="Q25" i="2"/>
  <c r="Q55" i="2"/>
  <c r="S55" i="2" s="1"/>
  <c r="O55" i="2"/>
  <c r="Q56" i="2"/>
  <c r="S56" i="2" s="1"/>
  <c r="O56" i="2"/>
  <c r="J61" i="2"/>
  <c r="T61" i="2" s="1"/>
  <c r="Q60" i="2"/>
  <c r="S60" i="2" s="1"/>
  <c r="O60" i="2"/>
  <c r="P73" i="2" l="1"/>
  <c r="Q73" i="2"/>
  <c r="O49" i="2"/>
  <c r="Q49" i="2"/>
  <c r="S49" i="2" s="1"/>
  <c r="Q61" i="2"/>
  <c r="S61" i="2" s="1"/>
  <c r="O61" i="2"/>
</calcChain>
</file>

<file path=xl/sharedStrings.xml><?xml version="1.0" encoding="utf-8"?>
<sst xmlns="http://schemas.openxmlformats.org/spreadsheetml/2006/main" count="209" uniqueCount="45">
  <si>
    <t>lbm/sack</t>
  </si>
  <si>
    <t xml:space="preserve">Density (g/cc) </t>
  </si>
  <si>
    <t>Density (ppg)</t>
  </si>
  <si>
    <t xml:space="preserve">mix pro </t>
  </si>
  <si>
    <t>mass(lbm)</t>
  </si>
  <si>
    <t>Water/Cement Ratio</t>
  </si>
  <si>
    <t xml:space="preserve">Class H </t>
  </si>
  <si>
    <t xml:space="preserve">Water </t>
  </si>
  <si>
    <t xml:space="preserve">bentonite </t>
  </si>
  <si>
    <t>Water/Solids Ratio</t>
  </si>
  <si>
    <t xml:space="preserve">Mix </t>
  </si>
  <si>
    <t>vol(gal)</t>
  </si>
  <si>
    <t>density (ppg)</t>
  </si>
  <si>
    <t>Class H</t>
  </si>
  <si>
    <t>Water</t>
  </si>
  <si>
    <t>Bentonite</t>
  </si>
  <si>
    <t>Summary of Slurry Designs</t>
  </si>
  <si>
    <t>Calculations:</t>
  </si>
  <si>
    <t>W/C Ratio</t>
  </si>
  <si>
    <t>lbm</t>
    <phoneticPr fontId="2" type="noConversion"/>
  </si>
  <si>
    <t>gram</t>
    <phoneticPr fontId="2" type="noConversion"/>
  </si>
  <si>
    <t xml:space="preserve"> </t>
    <phoneticPr fontId="2" type="noConversion"/>
  </si>
  <si>
    <t>Neat Class H, neat + Graphene(Various Percentage), following API 10B in USC Units</t>
  </si>
  <si>
    <t>0% Graphene</t>
  </si>
  <si>
    <t>Graphene</t>
  </si>
  <si>
    <t>0.016% Graphene</t>
  </si>
  <si>
    <t>0.05% Graphene</t>
  </si>
  <si>
    <t>0.1% Graphene</t>
  </si>
  <si>
    <t>D-Air 5000</t>
  </si>
  <si>
    <t>Dispersent CFR-3 w/o defoamer</t>
  </si>
  <si>
    <t>Material</t>
  </si>
  <si>
    <t>Conversions</t>
  </si>
  <si>
    <t>mL</t>
  </si>
  <si>
    <t>Gallon</t>
  </si>
  <si>
    <t>Lb</t>
  </si>
  <si>
    <t>Graphene %wt</t>
  </si>
  <si>
    <t>Standard H Class</t>
  </si>
  <si>
    <t>Double</t>
  </si>
  <si>
    <t>Triple</t>
  </si>
  <si>
    <t>Volume (mL)</t>
  </si>
  <si>
    <t>0.008% Graphene</t>
  </si>
  <si>
    <t>6x</t>
  </si>
  <si>
    <t>2.25x</t>
  </si>
  <si>
    <t>4.5x(whole)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</si>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</sst>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</font>
    <font>
      <sz val="11"/>
      <color rgb="FFFF0000"/>
      <name val="Calibri"/>
      <family val="2"/>
      <charset val="134"/>
      <scheme val="minor"/>
    </font>
    <font>
      <b/>
      <sz val="11"/>
      <color rgb="FFFF0000"/>
      <name val="Calibri"/>
      <family val="3"/>
      <charset val="134"/>
      <scheme val="minor"/>
    </font>
    <font>
      <sz val="11"/>
      <color rgb="FF9C65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9" fillId="6" borderId="0" applyNumberFormat="0" applyBorder="0" applyAlignment="0" applyProtection="0"/>
  </cellStyleXfs>
  <cellXfs count="123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/>
    <xf numFmtId="164" fontId="0" fillId="0" borderId="0" xfId="0" applyNumberFormat="1">
      <alignment vertical="center"/>
    </xf>
    <xf numFmtId="164" fontId="0" fillId="0" borderId="0" xfId="0" applyNumberFormat="1" applyAlignmen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4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quotePrefix="1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1" xfId="0" applyNumberFormat="1" applyBorder="1">
      <alignment vertical="center"/>
    </xf>
    <xf numFmtId="164" fontId="8" fillId="5" borderId="1" xfId="0" applyNumberFormat="1" applyFont="1" applyFill="1" applyBorder="1">
      <alignment vertical="center"/>
    </xf>
    <xf numFmtId="164" fontId="7" fillId="5" borderId="1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1" fillId="0" borderId="1" xfId="0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164" fontId="0" fillId="0" borderId="15" xfId="0" applyNumberFormat="1" applyBorder="1" applyAlignment="1">
      <alignment horizontal="center"/>
    </xf>
    <xf numFmtId="164" fontId="5" fillId="4" borderId="15" xfId="0" applyNumberFormat="1" applyFont="1" applyFill="1" applyBorder="1" applyAlignment="1">
      <alignment horizontal="center"/>
    </xf>
    <xf numFmtId="164" fontId="0" fillId="0" borderId="15" xfId="0" applyNumberFormat="1" applyBorder="1">
      <alignment vertical="center"/>
    </xf>
    <xf numFmtId="164" fontId="8" fillId="5" borderId="15" xfId="0" applyNumberFormat="1" applyFont="1" applyFill="1" applyBorder="1">
      <alignment vertical="center"/>
    </xf>
    <xf numFmtId="0" fontId="0" fillId="0" borderId="28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164" fontId="0" fillId="0" borderId="28" xfId="0" applyNumberForma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/>
    </xf>
    <xf numFmtId="0" fontId="0" fillId="0" borderId="28" xfId="0" applyBorder="1">
      <alignment vertical="center"/>
    </xf>
    <xf numFmtId="0" fontId="7" fillId="5" borderId="28" xfId="0" applyFont="1" applyFill="1" applyBorder="1">
      <alignment vertical="center"/>
    </xf>
    <xf numFmtId="164" fontId="8" fillId="5" borderId="13" xfId="0" applyNumberFormat="1" applyFont="1" applyFill="1" applyBorder="1">
      <alignment vertical="center"/>
    </xf>
    <xf numFmtId="164" fontId="8" fillId="5" borderId="16" xfId="0" applyNumberFormat="1" applyFont="1" applyFill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0" fillId="0" borderId="0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64" fontId="0" fillId="0" borderId="4" xfId="0" applyNumberFormat="1" applyBorder="1">
      <alignment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164" fontId="0" fillId="0" borderId="35" xfId="0" quotePrefix="1" applyNumberFormat="1" applyBorder="1" applyAlignment="1">
      <alignment horizontal="center" vertical="center"/>
    </xf>
    <xf numFmtId="0" fontId="0" fillId="3" borderId="35" xfId="0" applyFill="1" applyBorder="1" applyAlignment="1">
      <alignment horizontal="center"/>
    </xf>
    <xf numFmtId="164" fontId="0" fillId="0" borderId="35" xfId="0" applyNumberFormat="1" applyBorder="1" applyAlignment="1">
      <alignment horizontal="center" vertical="center"/>
    </xf>
    <xf numFmtId="164" fontId="0" fillId="4" borderId="35" xfId="0" applyNumberForma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164" fontId="5" fillId="4" borderId="35" xfId="0" applyNumberFormat="1" applyFont="1" applyFill="1" applyBorder="1" applyAlignment="1">
      <alignment horizontal="center"/>
    </xf>
    <xf numFmtId="164" fontId="0" fillId="0" borderId="35" xfId="0" applyNumberFormat="1" applyBorder="1">
      <alignment vertical="center"/>
    </xf>
    <xf numFmtId="164" fontId="7" fillId="5" borderId="35" xfId="0" applyNumberFormat="1" applyFont="1" applyFill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164" fontId="8" fillId="5" borderId="14" xfId="0" applyNumberFormat="1" applyFont="1" applyFill="1" applyBorder="1">
      <alignment vertical="center"/>
    </xf>
    <xf numFmtId="0" fontId="9" fillId="6" borderId="43" xfId="1" applyBorder="1" applyAlignment="1">
      <alignment horizontal="center" vertical="center"/>
    </xf>
    <xf numFmtId="0" fontId="9" fillId="6" borderId="1" xfId="1" applyBorder="1" applyAlignment="1">
      <alignment horizontal="center" vertical="center"/>
    </xf>
    <xf numFmtId="2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quotePrefix="1">
      <alignment vertical="center"/>
    </xf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zoomScale="50" workbookViewId="0">
      <selection activeCell="G90" sqref="G90"/>
    </sheetView>
  </sheetViews>
  <sheetFormatPr baseColWidth="10" defaultColWidth="8.83203125" defaultRowHeight="15" x14ac:dyDescent="0.2"/>
  <cols>
    <col min="1" max="1" width="49.5" bestFit="1" customWidth="1"/>
    <col min="2" max="2" width="23.1640625" customWidth="1"/>
    <col min="3" max="3" width="12.83203125" bestFit="1" customWidth="1"/>
    <col min="4" max="5" width="12" bestFit="1" customWidth="1"/>
    <col min="6" max="6" width="12" style="6" bestFit="1" customWidth="1"/>
    <col min="7" max="7" width="13.1640625" bestFit="1" customWidth="1"/>
    <col min="8" max="8" width="20.5" bestFit="1" customWidth="1"/>
    <col min="9" max="9" width="12.6640625" bestFit="1" customWidth="1"/>
    <col min="10" max="10" width="15.5" customWidth="1"/>
    <col min="11" max="14" width="9.1640625" customWidth="1"/>
  </cols>
  <sheetData>
    <row r="1" spans="1:25" ht="44.25" customHeight="1" thickBot="1" x14ac:dyDescent="0.25">
      <c r="A1" s="95" t="s">
        <v>22</v>
      </c>
      <c r="B1" s="96"/>
      <c r="C1" s="97"/>
    </row>
    <row r="2" spans="1:25" x14ac:dyDescent="0.2">
      <c r="K2" s="103" t="s">
        <v>31</v>
      </c>
      <c r="L2" s="104"/>
      <c r="M2" s="104"/>
      <c r="N2" s="105"/>
    </row>
    <row r="3" spans="1:25" x14ac:dyDescent="0.2">
      <c r="A3" s="98" t="s">
        <v>16</v>
      </c>
      <c r="B3" s="98"/>
      <c r="C3" s="98"/>
      <c r="D3" s="98"/>
      <c r="E3" s="99"/>
      <c r="F3" s="69"/>
      <c r="G3" s="29"/>
      <c r="K3" s="40" t="s">
        <v>32</v>
      </c>
      <c r="L3" s="39">
        <v>400</v>
      </c>
      <c r="M3" s="38" t="s">
        <v>33</v>
      </c>
      <c r="N3" s="41">
        <f>L3*0.000264172</f>
        <v>0.10566880000000001</v>
      </c>
    </row>
    <row r="4" spans="1:25" ht="16" thickBot="1" x14ac:dyDescent="0.25">
      <c r="A4" s="4" t="s">
        <v>35</v>
      </c>
      <c r="B4" s="65">
        <v>0</v>
      </c>
      <c r="C4" s="66">
        <v>4.0000000000000001E-3</v>
      </c>
      <c r="D4" s="66">
        <v>8.0000000000000002E-3</v>
      </c>
      <c r="E4" s="66">
        <v>1.6E-2</v>
      </c>
      <c r="F4" s="67">
        <v>0.05</v>
      </c>
      <c r="G4" s="68">
        <v>0.1</v>
      </c>
      <c r="K4" s="42" t="s">
        <v>34</v>
      </c>
      <c r="L4" s="43">
        <v>1</v>
      </c>
      <c r="M4" s="44"/>
      <c r="N4" s="45">
        <f>L4*453.592</f>
        <v>453.59199999999998</v>
      </c>
    </row>
    <row r="5" spans="1:25" x14ac:dyDescent="0.2">
      <c r="A5" s="26" t="s">
        <v>13</v>
      </c>
      <c r="B5" s="70">
        <f t="shared" ref="B5:B10" si="0">E30/$E$36</f>
        <v>0.7096198008970569</v>
      </c>
      <c r="C5" s="71">
        <f t="shared" ref="C5:C10" si="1">E42/$E$48</f>
        <v>0.70957405569502885</v>
      </c>
      <c r="D5" s="71">
        <f t="shared" ref="D5:D10" si="2">E54/$E$60</f>
        <v>0.70952831639049296</v>
      </c>
      <c r="E5" s="71">
        <f t="shared" ref="E5:E10" si="3">E66/$E$72</f>
        <v>0.70933399011361331</v>
      </c>
      <c r="F5" s="71">
        <f t="shared" ref="F5:F10" si="4">E78/$E$84</f>
        <v>0.70904840946725423</v>
      </c>
      <c r="G5" s="72" t="e">
        <f t="shared" ref="G5:G10" si="5">E90/$E$97</f>
        <v>#DIV/0!</v>
      </c>
      <c r="J5" s="31"/>
      <c r="K5" s="31"/>
      <c r="L5" s="31"/>
    </row>
    <row r="6" spans="1:25" x14ac:dyDescent="0.2">
      <c r="A6" s="27" t="s">
        <v>14</v>
      </c>
      <c r="B6" s="21">
        <f t="shared" si="0"/>
        <v>0.27228489418006796</v>
      </c>
      <c r="C6" s="20">
        <f t="shared" si="1"/>
        <v>0.27227503996029218</v>
      </c>
      <c r="D6" s="20">
        <f t="shared" si="2"/>
        <v>0.27226518701092683</v>
      </c>
      <c r="E6" s="20">
        <f t="shared" si="3"/>
        <v>0.2722233261434327</v>
      </c>
      <c r="F6" s="20">
        <f t="shared" si="4"/>
        <v>0.27216180768186349</v>
      </c>
      <c r="G6" s="22" t="e">
        <f t="shared" si="5"/>
        <v>#DIV/0!</v>
      </c>
    </row>
    <row r="7" spans="1:25" x14ac:dyDescent="0.2">
      <c r="A7" s="27" t="s">
        <v>24</v>
      </c>
      <c r="B7" s="21">
        <f t="shared" si="0"/>
        <v>0</v>
      </c>
      <c r="C7" s="20">
        <f t="shared" si="1"/>
        <v>5.6765924455602309E-5</v>
      </c>
      <c r="D7" s="20">
        <f t="shared" si="2"/>
        <v>1.1352453062247888E-4</v>
      </c>
      <c r="E7" s="20">
        <f t="shared" si="3"/>
        <v>3.5466699505680665E-4</v>
      </c>
      <c r="F7" s="20">
        <f t="shared" si="4"/>
        <v>7.0904840946725426E-4</v>
      </c>
      <c r="G7" s="22" t="e">
        <f t="shared" si="5"/>
        <v>#DIV/0!</v>
      </c>
    </row>
    <row r="8" spans="1:25" x14ac:dyDescent="0.2">
      <c r="A8" s="27" t="s">
        <v>28</v>
      </c>
      <c r="B8" s="21">
        <f t="shared" si="0"/>
        <v>1.7740495022426424E-3</v>
      </c>
      <c r="C8" s="20">
        <f t="shared" si="1"/>
        <v>1.7739351392375721E-3</v>
      </c>
      <c r="D8" s="20">
        <f t="shared" si="2"/>
        <v>1.7738207909762324E-3</v>
      </c>
      <c r="E8" s="20">
        <f t="shared" si="3"/>
        <v>1.7733349752840333E-3</v>
      </c>
      <c r="F8" s="20">
        <f t="shared" si="4"/>
        <v>1.7726210236681356E-3</v>
      </c>
      <c r="G8" s="22" t="e">
        <f t="shared" si="5"/>
        <v>#DIV/0!</v>
      </c>
    </row>
    <row r="9" spans="1:25" x14ac:dyDescent="0.2">
      <c r="A9" s="27" t="s">
        <v>29</v>
      </c>
      <c r="B9" s="21">
        <f t="shared" si="0"/>
        <v>2.1288594026911711E-3</v>
      </c>
      <c r="C9" s="20">
        <f t="shared" si="1"/>
        <v>2.1287221670850866E-3</v>
      </c>
      <c r="D9" s="20">
        <f t="shared" si="2"/>
        <v>2.128584949171479E-3</v>
      </c>
      <c r="E9" s="20">
        <f t="shared" si="3"/>
        <v>2.1280019703408403E-3</v>
      </c>
      <c r="F9" s="20">
        <f t="shared" si="4"/>
        <v>2.1271452284017628E-3</v>
      </c>
      <c r="G9" s="22" t="e">
        <f t="shared" si="5"/>
        <v>#DIV/0!</v>
      </c>
    </row>
    <row r="10" spans="1:25" x14ac:dyDescent="0.2">
      <c r="A10" s="27" t="s">
        <v>15</v>
      </c>
      <c r="B10" s="21">
        <f t="shared" si="0"/>
        <v>1.4192396017941139E-2</v>
      </c>
      <c r="C10" s="20">
        <f t="shared" si="1"/>
        <v>1.4191481113900577E-2</v>
      </c>
      <c r="D10" s="20">
        <f t="shared" si="2"/>
        <v>1.4190566327809859E-2</v>
      </c>
      <c r="E10" s="20">
        <f t="shared" si="3"/>
        <v>1.4186679802272267E-2</v>
      </c>
      <c r="F10" s="20">
        <f t="shared" si="4"/>
        <v>1.4180968189345085E-2</v>
      </c>
      <c r="G10" s="22" t="e">
        <f t="shared" si="5"/>
        <v>#DIV/0!</v>
      </c>
    </row>
    <row r="11" spans="1:25" x14ac:dyDescent="0.2">
      <c r="A11" s="28" t="s">
        <v>18</v>
      </c>
      <c r="B11" s="23">
        <f t="shared" ref="B11:G11" si="6">B6/B5</f>
        <v>0.38370532197081092</v>
      </c>
      <c r="C11" s="24">
        <f t="shared" si="6"/>
        <v>0.38371617137776881</v>
      </c>
      <c r="D11" s="24">
        <f t="shared" si="6"/>
        <v>0.3837270207847267</v>
      </c>
      <c r="E11" s="24">
        <f t="shared" si="6"/>
        <v>0.38377313076429759</v>
      </c>
      <c r="F11" s="24">
        <f t="shared" si="6"/>
        <v>0.38384093955778437</v>
      </c>
      <c r="G11" s="25" t="e">
        <f t="shared" si="6"/>
        <v>#DIV/0!</v>
      </c>
    </row>
    <row r="14" spans="1:25" ht="19" x14ac:dyDescent="0.2">
      <c r="A14" s="95" t="s">
        <v>17</v>
      </c>
      <c r="B14" s="96"/>
      <c r="C14" s="97"/>
      <c r="F14"/>
    </row>
    <row r="15" spans="1:25" x14ac:dyDescent="0.2">
      <c r="F15" s="7"/>
      <c r="G15" s="1"/>
      <c r="H15" s="1"/>
    </row>
    <row r="16" spans="1:25" ht="16" thickBot="1" x14ac:dyDescent="0.25">
      <c r="A16" t="s">
        <v>36</v>
      </c>
      <c r="F16" s="7"/>
      <c r="G16" s="1"/>
      <c r="H16" s="1"/>
      <c r="I16" s="82"/>
      <c r="J16" s="82"/>
      <c r="K16" s="33"/>
      <c r="M16" s="20"/>
      <c r="O16" s="20"/>
      <c r="P16" s="34"/>
      <c r="R16" s="64"/>
      <c r="T16" s="82"/>
      <c r="U16" s="1"/>
      <c r="V16" s="82"/>
      <c r="W16" s="82"/>
      <c r="X16" s="82"/>
      <c r="Y16" s="1"/>
    </row>
    <row r="17" spans="1:27" ht="17" thickBot="1" x14ac:dyDescent="0.25">
      <c r="A17" s="83" t="s">
        <v>30</v>
      </c>
      <c r="B17" s="53" t="s">
        <v>1</v>
      </c>
      <c r="C17" s="53" t="s">
        <v>2</v>
      </c>
      <c r="D17" s="53" t="s">
        <v>3</v>
      </c>
      <c r="E17" s="54" t="s">
        <v>4</v>
      </c>
      <c r="F17" s="55" t="s">
        <v>11</v>
      </c>
      <c r="G17" s="56" t="s">
        <v>12</v>
      </c>
      <c r="H17" s="57" t="s">
        <v>5</v>
      </c>
      <c r="I17" s="58" t="s">
        <v>19</v>
      </c>
      <c r="J17" s="59" t="s">
        <v>20</v>
      </c>
      <c r="K17" s="100" t="s">
        <v>30</v>
      </c>
      <c r="L17" s="101"/>
      <c r="M17" s="101"/>
      <c r="N17" s="102"/>
      <c r="O17" s="109" t="s">
        <v>37</v>
      </c>
      <c r="P17" s="110"/>
      <c r="Q17" s="92" t="s">
        <v>38</v>
      </c>
      <c r="R17" s="92"/>
      <c r="S17" t="s">
        <v>41</v>
      </c>
      <c r="T17" s="82"/>
      <c r="U17" s="90"/>
      <c r="V17" s="82"/>
      <c r="W17" s="82"/>
      <c r="X17" s="90"/>
      <c r="Y17" s="90"/>
      <c r="Z17" s="90"/>
      <c r="AA17" s="90"/>
    </row>
    <row r="18" spans="1:27" ht="16" x14ac:dyDescent="0.2">
      <c r="A18" s="84" t="s">
        <v>6</v>
      </c>
      <c r="B18" s="28">
        <v>3.14</v>
      </c>
      <c r="C18" s="47">
        <f>B18*8.345404452</f>
        <v>26.204569979280002</v>
      </c>
      <c r="D18" s="28">
        <v>1</v>
      </c>
      <c r="E18" s="48">
        <v>94</v>
      </c>
      <c r="F18" s="47">
        <f>E18/C18</f>
        <v>3.5871605629982084</v>
      </c>
      <c r="G18" s="49">
        <f t="shared" ref="G18:G24" si="7">E18/F18</f>
        <v>26.204569979280002</v>
      </c>
      <c r="H18" s="50">
        <f>E19/E18</f>
        <v>0.38370532197081092</v>
      </c>
      <c r="I18" s="51">
        <f>E18/$E$24*$N$3*$C$24</f>
        <v>1.2297486341993071</v>
      </c>
      <c r="J18" s="52">
        <f t="shared" ref="J18:J24" si="8">I18*453.592</f>
        <v>557.80414248373211</v>
      </c>
      <c r="K18" s="118" t="s">
        <v>6</v>
      </c>
      <c r="L18" s="119"/>
      <c r="M18" s="119"/>
      <c r="N18" s="120"/>
      <c r="O18" s="109">
        <f>2*J18</f>
        <v>1115.6082849674642</v>
      </c>
      <c r="P18" s="110"/>
      <c r="Q18" s="109">
        <f>J18*3</f>
        <v>1673.4124274511964</v>
      </c>
      <c r="R18" s="110"/>
      <c r="S18">
        <f>J18*6</f>
        <v>3346.8248549023929</v>
      </c>
      <c r="T18" s="82"/>
      <c r="U18" s="89"/>
      <c r="V18" s="91"/>
      <c r="W18" s="82"/>
    </row>
    <row r="19" spans="1:27" ht="16" x14ac:dyDescent="0.2">
      <c r="A19" s="84" t="s">
        <v>7</v>
      </c>
      <c r="B19" s="4">
        <v>1</v>
      </c>
      <c r="C19" s="4">
        <v>8.3249999999999993</v>
      </c>
      <c r="D19" s="11">
        <f>E19/E18</f>
        <v>0.38370532197081092</v>
      </c>
      <c r="E19" s="15">
        <f>F19*C19</f>
        <v>36.068300265256227</v>
      </c>
      <c r="F19" s="9">
        <f>(94*(1-C24/C18)+94*((D20*(1-C24/C20)+D21*(1-C24/C21)+D22*(1-C24/C22)+(D23*(1-C24/C23)))))/(C24-C19)</f>
        <v>4.3325285603911388</v>
      </c>
      <c r="G19" s="2">
        <f t="shared" si="7"/>
        <v>8.3249999999999993</v>
      </c>
      <c r="H19" s="16" t="s">
        <v>2</v>
      </c>
      <c r="I19" s="51">
        <f t="shared" ref="I19:I23" si="9">E19/$E$24*$N$3*$C$24</f>
        <v>0.47186109562861017</v>
      </c>
      <c r="J19" s="36">
        <f t="shared" si="8"/>
        <v>214.03241808837254</v>
      </c>
      <c r="K19" s="106" t="s">
        <v>7</v>
      </c>
      <c r="L19" s="107"/>
      <c r="M19" s="107"/>
      <c r="N19" s="108"/>
      <c r="O19" s="109">
        <f t="shared" ref="O19:O24" si="10">2*J19</f>
        <v>428.06483617674508</v>
      </c>
      <c r="P19" s="110"/>
      <c r="Q19" s="109">
        <f t="shared" ref="Q19:Q24" si="11">J19*3</f>
        <v>642.09725426511761</v>
      </c>
      <c r="R19" s="110"/>
      <c r="S19">
        <f t="shared" ref="S19:S25" si="12">J19*6</f>
        <v>1284.1945085302352</v>
      </c>
      <c r="T19" s="82"/>
      <c r="U19" s="89"/>
      <c r="V19" s="91"/>
      <c r="W19" s="82"/>
    </row>
    <row r="20" spans="1:27" ht="16" x14ac:dyDescent="0.2">
      <c r="A20" s="84" t="s">
        <v>24</v>
      </c>
      <c r="B20" s="9">
        <v>2.2669999999999999</v>
      </c>
      <c r="C20" s="4">
        <f>B20*8.33</f>
        <v>18.88411</v>
      </c>
      <c r="D20" s="4">
        <v>0</v>
      </c>
      <c r="E20" s="14">
        <f>E18*D20</f>
        <v>0</v>
      </c>
      <c r="F20" s="9">
        <f>E20/C20</f>
        <v>0</v>
      </c>
      <c r="G20" s="2" t="e">
        <f t="shared" si="7"/>
        <v>#DIV/0!</v>
      </c>
      <c r="H20" s="18">
        <f>G24</f>
        <v>16.399999999999999</v>
      </c>
      <c r="I20" s="51">
        <f t="shared" si="9"/>
        <v>0</v>
      </c>
      <c r="J20" s="36">
        <f t="shared" si="8"/>
        <v>0</v>
      </c>
      <c r="K20" s="106" t="s">
        <v>24</v>
      </c>
      <c r="L20" s="107"/>
      <c r="M20" s="107"/>
      <c r="N20" s="108"/>
      <c r="O20" s="109">
        <f t="shared" si="10"/>
        <v>0</v>
      </c>
      <c r="P20" s="110"/>
      <c r="Q20" s="109">
        <f t="shared" si="11"/>
        <v>0</v>
      </c>
      <c r="R20" s="110"/>
      <c r="S20">
        <f t="shared" si="12"/>
        <v>0</v>
      </c>
      <c r="T20" s="82"/>
      <c r="U20" s="89"/>
      <c r="V20" s="91"/>
      <c r="W20" s="82"/>
    </row>
    <row r="21" spans="1:27" ht="16" x14ac:dyDescent="0.2">
      <c r="A21" s="84" t="s">
        <v>28</v>
      </c>
      <c r="B21" s="9">
        <v>2.2599999999999998</v>
      </c>
      <c r="C21" s="4">
        <f>B21*C19</f>
        <v>18.814499999999995</v>
      </c>
      <c r="D21" s="87">
        <v>2.5000000000000001E-3</v>
      </c>
      <c r="E21" s="14">
        <f>D21*E18</f>
        <v>0.23500000000000001</v>
      </c>
      <c r="F21" s="9">
        <f>E21/C21</f>
        <v>1.2490366472667361E-2</v>
      </c>
      <c r="G21" s="12">
        <f t="shared" si="7"/>
        <v>18.814499999999995</v>
      </c>
      <c r="H21" s="18"/>
      <c r="I21" s="51">
        <f t="shared" si="9"/>
        <v>3.0743715854982681E-3</v>
      </c>
      <c r="J21" s="36">
        <f t="shared" si="8"/>
        <v>1.3945103562093304</v>
      </c>
      <c r="K21" s="106" t="s">
        <v>28</v>
      </c>
      <c r="L21" s="107"/>
      <c r="M21" s="107"/>
      <c r="N21" s="108"/>
      <c r="O21" s="109">
        <f t="shared" si="10"/>
        <v>2.7890207124186608</v>
      </c>
      <c r="P21" s="110"/>
      <c r="Q21" s="109">
        <f t="shared" si="11"/>
        <v>4.1835310686279907</v>
      </c>
      <c r="R21" s="110"/>
      <c r="S21">
        <f t="shared" si="12"/>
        <v>8.3670621372559815</v>
      </c>
      <c r="T21" s="82"/>
      <c r="U21" s="89"/>
      <c r="V21" s="91"/>
      <c r="W21" s="82"/>
    </row>
    <row r="22" spans="1:27" ht="16" x14ac:dyDescent="0.2">
      <c r="A22" s="84" t="s">
        <v>29</v>
      </c>
      <c r="B22" s="9">
        <v>0.60870000000000002</v>
      </c>
      <c r="C22" s="4">
        <f>B22*C19</f>
        <v>5.0674275</v>
      </c>
      <c r="D22" s="4">
        <v>3.0000000000000001E-3</v>
      </c>
      <c r="E22" s="14">
        <f>D22*E18</f>
        <v>0.28200000000000003</v>
      </c>
      <c r="F22" s="9">
        <f>E22/C22</f>
        <v>5.5649538153234562E-2</v>
      </c>
      <c r="G22" s="2">
        <f t="shared" si="7"/>
        <v>5.0674275</v>
      </c>
      <c r="H22" s="18"/>
      <c r="I22" s="51">
        <f t="shared" si="9"/>
        <v>3.6892459025979225E-3</v>
      </c>
      <c r="J22" s="36">
        <f t="shared" si="8"/>
        <v>1.6734124274511968</v>
      </c>
      <c r="K22" s="106" t="s">
        <v>29</v>
      </c>
      <c r="L22" s="107"/>
      <c r="M22" s="107"/>
      <c r="N22" s="108"/>
      <c r="O22" s="109">
        <f t="shared" si="10"/>
        <v>3.3468248549023936</v>
      </c>
      <c r="P22" s="110"/>
      <c r="Q22" s="109">
        <f t="shared" si="11"/>
        <v>5.0202372823535901</v>
      </c>
      <c r="R22" s="110"/>
      <c r="S22">
        <f t="shared" si="12"/>
        <v>10.04047456470718</v>
      </c>
      <c r="T22" s="82"/>
      <c r="U22" s="89"/>
      <c r="V22" s="91"/>
      <c r="W22" s="82"/>
    </row>
    <row r="23" spans="1:27" ht="16" x14ac:dyDescent="0.2">
      <c r="A23" s="84" t="s">
        <v>8</v>
      </c>
      <c r="B23" s="4">
        <v>2.5219999999999998</v>
      </c>
      <c r="C23" s="9">
        <f>B23*8.345404452</f>
        <v>21.047110027944001</v>
      </c>
      <c r="D23" s="4">
        <v>0.02</v>
      </c>
      <c r="E23" s="14">
        <f>E18*D23</f>
        <v>1.8800000000000001</v>
      </c>
      <c r="F23" s="9">
        <f>E23/C23</f>
        <v>8.932342718330194E-2</v>
      </c>
      <c r="G23" s="12">
        <f t="shared" si="7"/>
        <v>21.047110027944001</v>
      </c>
      <c r="H23" s="16" t="s">
        <v>9</v>
      </c>
      <c r="I23" s="51">
        <f t="shared" si="9"/>
        <v>2.4594972683986145E-2</v>
      </c>
      <c r="J23" s="36">
        <f t="shared" si="8"/>
        <v>11.156082849674643</v>
      </c>
      <c r="K23" s="106" t="s">
        <v>8</v>
      </c>
      <c r="L23" s="107"/>
      <c r="M23" s="107"/>
      <c r="N23" s="108"/>
      <c r="O23" s="109">
        <f t="shared" si="10"/>
        <v>22.312165699349286</v>
      </c>
      <c r="P23" s="110"/>
      <c r="Q23" s="109">
        <f t="shared" si="11"/>
        <v>33.468248549023926</v>
      </c>
      <c r="R23" s="110"/>
      <c r="S23">
        <f t="shared" si="12"/>
        <v>66.936497098047852</v>
      </c>
      <c r="T23" s="82"/>
      <c r="U23" s="89"/>
      <c r="V23" s="91"/>
      <c r="W23" s="82"/>
    </row>
    <row r="24" spans="1:27" ht="17" thickBot="1" x14ac:dyDescent="0.25">
      <c r="A24" s="85" t="s">
        <v>10</v>
      </c>
      <c r="B24" s="74">
        <f>C24*0.1198246</f>
        <v>1.9651234399999999</v>
      </c>
      <c r="C24" s="75">
        <v>16.399999999999999</v>
      </c>
      <c r="D24" s="76">
        <f>SUM(D18:D23)</f>
        <v>1.4092053219708107</v>
      </c>
      <c r="E24" s="77">
        <f>SUM(E18:E23)</f>
        <v>132.46530026525625</v>
      </c>
      <c r="F24" s="76">
        <f>E24/C24</f>
        <v>8.0771524551985525</v>
      </c>
      <c r="G24" s="78">
        <f t="shared" si="7"/>
        <v>16.399999999999999</v>
      </c>
      <c r="H24" s="79">
        <f>D19/(D18+D20+D21+D22+D23)</f>
        <v>0.37416413649030811</v>
      </c>
      <c r="I24" s="80">
        <f>E24/$E$24*$N$3*$C$24</f>
        <v>1.7329683199999999</v>
      </c>
      <c r="J24" s="81">
        <f t="shared" si="8"/>
        <v>786.06056620543995</v>
      </c>
      <c r="K24" s="115" t="s">
        <v>10</v>
      </c>
      <c r="L24" s="116"/>
      <c r="M24" s="116"/>
      <c r="N24" s="117"/>
      <c r="O24" s="109">
        <f t="shared" si="10"/>
        <v>1572.1211324108799</v>
      </c>
      <c r="P24" s="110"/>
      <c r="Q24" s="109">
        <f t="shared" si="11"/>
        <v>2358.1816986163199</v>
      </c>
      <c r="R24" s="110"/>
      <c r="S24">
        <f t="shared" si="12"/>
        <v>4716.3633972326397</v>
      </c>
      <c r="T24" s="82"/>
      <c r="U24" s="89"/>
      <c r="V24" s="91"/>
      <c r="W24" s="82"/>
    </row>
    <row r="25" spans="1:27" x14ac:dyDescent="0.2">
      <c r="A25" s="82"/>
      <c r="B25" s="82"/>
      <c r="C25" s="33"/>
      <c r="F25"/>
      <c r="I25" t="s">
        <v>39</v>
      </c>
      <c r="J25" s="86">
        <f>J24/B24</f>
        <v>400.00569440331952</v>
      </c>
      <c r="L25" s="82"/>
      <c r="M25" s="82"/>
      <c r="N25" s="82"/>
      <c r="O25" s="109">
        <f>2*J25</f>
        <v>800.01138880663905</v>
      </c>
      <c r="P25" s="110"/>
      <c r="Q25" s="109">
        <f>3*J25</f>
        <v>1200.0170832099586</v>
      </c>
      <c r="R25" s="110"/>
      <c r="S25">
        <f t="shared" si="12"/>
        <v>2400.0341664199173</v>
      </c>
      <c r="T25" s="82"/>
      <c r="U25" s="89"/>
      <c r="V25" s="91"/>
      <c r="W25" s="82"/>
    </row>
    <row r="26" spans="1:27" x14ac:dyDescent="0.2">
      <c r="A26" s="82"/>
      <c r="B26" s="82"/>
      <c r="C26" s="33"/>
      <c r="F26"/>
      <c r="L26" s="82"/>
      <c r="M26" s="82"/>
      <c r="N26" s="82"/>
      <c r="O26" s="82"/>
      <c r="P26" s="34"/>
      <c r="R26" s="64"/>
      <c r="T26" s="82"/>
      <c r="U26" s="82"/>
      <c r="V26" s="82"/>
      <c r="W26" s="82"/>
    </row>
    <row r="27" spans="1:27" x14ac:dyDescent="0.2">
      <c r="A27" s="5" t="s">
        <v>23</v>
      </c>
      <c r="B27" s="1"/>
      <c r="D27" t="s">
        <v>0</v>
      </c>
      <c r="F27" s="8"/>
      <c r="G27" s="3"/>
      <c r="H27" s="1"/>
    </row>
    <row r="28" spans="1:27" ht="16" thickBot="1" x14ac:dyDescent="0.25">
      <c r="A28" s="3"/>
      <c r="B28" s="3"/>
      <c r="D28">
        <v>94</v>
      </c>
      <c r="I28" t="s">
        <v>21</v>
      </c>
    </row>
    <row r="29" spans="1:27" ht="17" thickBot="1" x14ac:dyDescent="0.25">
      <c r="A29" s="62" t="s">
        <v>30</v>
      </c>
      <c r="B29" s="53" t="s">
        <v>1</v>
      </c>
      <c r="C29" s="53" t="s">
        <v>2</v>
      </c>
      <c r="D29" s="53" t="s">
        <v>3</v>
      </c>
      <c r="E29" s="54" t="s">
        <v>4</v>
      </c>
      <c r="F29" s="55" t="s">
        <v>11</v>
      </c>
      <c r="G29" s="56" t="s">
        <v>12</v>
      </c>
      <c r="H29" s="57" t="s">
        <v>5</v>
      </c>
      <c r="I29" s="58" t="s">
        <v>19</v>
      </c>
      <c r="J29" s="59" t="s">
        <v>20</v>
      </c>
      <c r="K29" s="100" t="s">
        <v>30</v>
      </c>
      <c r="L29" s="101"/>
      <c r="M29" s="101"/>
      <c r="N29" s="102"/>
    </row>
    <row r="30" spans="1:27" ht="16" x14ac:dyDescent="0.2">
      <c r="A30" s="63" t="s">
        <v>6</v>
      </c>
      <c r="B30" s="28">
        <v>3.14</v>
      </c>
      <c r="C30" s="47">
        <f>B30*8.345404452</f>
        <v>26.204569979280002</v>
      </c>
      <c r="D30" s="28">
        <v>1</v>
      </c>
      <c r="E30" s="48">
        <v>94</v>
      </c>
      <c r="F30" s="47">
        <f>E30/C30</f>
        <v>3.5871605629982084</v>
      </c>
      <c r="G30" s="49">
        <f t="shared" ref="G30:G36" si="13">E30/F30</f>
        <v>26.204569979280002</v>
      </c>
      <c r="H30" s="50">
        <f>E31/E30</f>
        <v>0.38370532197081092</v>
      </c>
      <c r="I30" s="51">
        <f t="shared" ref="I30:I36" si="14">E30/$E$36*$N$3*$C$36</f>
        <v>1.2297486341993071</v>
      </c>
      <c r="J30" s="52">
        <f t="shared" ref="J30:J36" si="15">I30*453.592</f>
        <v>557.80414248373211</v>
      </c>
      <c r="K30" s="114" t="s">
        <v>6</v>
      </c>
      <c r="L30" s="114"/>
      <c r="M30" s="114"/>
      <c r="N30" s="114"/>
    </row>
    <row r="31" spans="1:27" ht="16" x14ac:dyDescent="0.2">
      <c r="A31" s="46" t="s">
        <v>7</v>
      </c>
      <c r="B31" s="4">
        <v>1</v>
      </c>
      <c r="C31" s="4">
        <v>8.3249999999999993</v>
      </c>
      <c r="D31" s="11">
        <f>E31/E30</f>
        <v>0.38370532197081092</v>
      </c>
      <c r="E31" s="15">
        <f>F31*C31</f>
        <v>36.068300265256227</v>
      </c>
      <c r="F31" s="9">
        <f>(94*(1-C36/C30)+94*((D32*(1-C36/C32)+D33*(1-C36/C33)+D34*(1-C36/C34)+(D35*(1-C36/C35)))))/(C36-C31)</f>
        <v>4.3325285603911388</v>
      </c>
      <c r="G31" s="2">
        <f t="shared" si="13"/>
        <v>8.3249999999999993</v>
      </c>
      <c r="H31" s="16" t="s">
        <v>2</v>
      </c>
      <c r="I31" s="35">
        <f t="shared" si="14"/>
        <v>0.47186109562861017</v>
      </c>
      <c r="J31" s="36">
        <f t="shared" si="15"/>
        <v>214.03241808837254</v>
      </c>
      <c r="K31" s="112" t="s">
        <v>7</v>
      </c>
      <c r="L31" s="112"/>
      <c r="M31" s="112"/>
      <c r="N31" s="112"/>
    </row>
    <row r="32" spans="1:27" ht="16" x14ac:dyDescent="0.2">
      <c r="A32" s="46" t="s">
        <v>24</v>
      </c>
      <c r="B32" s="9">
        <v>2.2669999999999999</v>
      </c>
      <c r="C32" s="4">
        <f>B32*8.33</f>
        <v>18.88411</v>
      </c>
      <c r="D32" s="4">
        <v>0</v>
      </c>
      <c r="E32" s="14">
        <f>E30*D32</f>
        <v>0</v>
      </c>
      <c r="F32" s="9">
        <f>E32/C32</f>
        <v>0</v>
      </c>
      <c r="G32" s="2" t="e">
        <f t="shared" si="13"/>
        <v>#DIV/0!</v>
      </c>
      <c r="H32" s="18">
        <f>G36</f>
        <v>16.399999999999999</v>
      </c>
      <c r="I32" s="35">
        <f t="shared" si="14"/>
        <v>0</v>
      </c>
      <c r="J32" s="36">
        <f t="shared" si="15"/>
        <v>0</v>
      </c>
      <c r="K32" s="112" t="s">
        <v>24</v>
      </c>
      <c r="L32" s="112"/>
      <c r="M32" s="112"/>
      <c r="N32" s="112"/>
    </row>
    <row r="33" spans="1:21" ht="16" x14ac:dyDescent="0.2">
      <c r="A33" s="46" t="s">
        <v>28</v>
      </c>
      <c r="B33" s="9">
        <v>2.2599999999999998</v>
      </c>
      <c r="C33" s="4">
        <f>B33*C31</f>
        <v>18.814499999999995</v>
      </c>
      <c r="D33" s="88">
        <v>2.5000000000000001E-3</v>
      </c>
      <c r="E33" s="14">
        <f>D33*E30</f>
        <v>0.23500000000000001</v>
      </c>
      <c r="F33" s="9">
        <f>E33/C33</f>
        <v>1.2490366472667361E-2</v>
      </c>
      <c r="G33" s="12">
        <f t="shared" si="13"/>
        <v>18.814499999999995</v>
      </c>
      <c r="H33" s="18"/>
      <c r="I33" s="35">
        <f t="shared" si="14"/>
        <v>3.0743715854982681E-3</v>
      </c>
      <c r="J33" s="36">
        <f t="shared" si="15"/>
        <v>1.3945103562093304</v>
      </c>
      <c r="K33" s="112" t="s">
        <v>28</v>
      </c>
      <c r="L33" s="112"/>
      <c r="M33" s="112"/>
      <c r="N33" s="112"/>
    </row>
    <row r="34" spans="1:21" ht="16" x14ac:dyDescent="0.2">
      <c r="A34" s="46" t="s">
        <v>29</v>
      </c>
      <c r="B34" s="9">
        <v>0.60870000000000002</v>
      </c>
      <c r="C34" s="4">
        <f>B34*C31</f>
        <v>5.0674275</v>
      </c>
      <c r="D34" s="4">
        <v>3.0000000000000001E-3</v>
      </c>
      <c r="E34" s="14">
        <f>D34*E30</f>
        <v>0.28200000000000003</v>
      </c>
      <c r="F34" s="9">
        <f>E34/C34</f>
        <v>5.5649538153234562E-2</v>
      </c>
      <c r="G34" s="2">
        <f t="shared" si="13"/>
        <v>5.0674275</v>
      </c>
      <c r="H34" s="18"/>
      <c r="I34" s="35">
        <f t="shared" si="14"/>
        <v>3.6892459025979225E-3</v>
      </c>
      <c r="J34" s="36">
        <f t="shared" si="15"/>
        <v>1.6734124274511968</v>
      </c>
      <c r="K34" s="112" t="s">
        <v>29</v>
      </c>
      <c r="L34" s="112"/>
      <c r="M34" s="112"/>
      <c r="N34" s="112"/>
    </row>
    <row r="35" spans="1:21" ht="16" x14ac:dyDescent="0.2">
      <c r="A35" s="46" t="s">
        <v>8</v>
      </c>
      <c r="B35" s="4">
        <v>2.5219999999999998</v>
      </c>
      <c r="C35" s="9">
        <f>B35*8.345404452</f>
        <v>21.047110027944001</v>
      </c>
      <c r="D35" s="4">
        <v>0.02</v>
      </c>
      <c r="E35" s="14">
        <f>E30*D35</f>
        <v>1.8800000000000001</v>
      </c>
      <c r="F35" s="9">
        <f>E35/C35</f>
        <v>8.932342718330194E-2</v>
      </c>
      <c r="G35" s="12">
        <f t="shared" si="13"/>
        <v>21.047110027944001</v>
      </c>
      <c r="H35" s="16" t="s">
        <v>9</v>
      </c>
      <c r="I35" s="35">
        <f t="shared" si="14"/>
        <v>2.4594972683986145E-2</v>
      </c>
      <c r="J35" s="36">
        <f t="shared" si="15"/>
        <v>11.156082849674643</v>
      </c>
      <c r="K35" s="112" t="s">
        <v>8</v>
      </c>
      <c r="L35" s="112"/>
      <c r="M35" s="112"/>
      <c r="N35" s="112"/>
    </row>
    <row r="36" spans="1:21" ht="16" x14ac:dyDescent="0.2">
      <c r="A36" s="46" t="s">
        <v>10</v>
      </c>
      <c r="B36" s="10">
        <f>C36*0.1198246</f>
        <v>1.9651234399999999</v>
      </c>
      <c r="C36" s="13">
        <v>16.399999999999999</v>
      </c>
      <c r="D36" s="9">
        <f>SUM(D30:D35)</f>
        <v>1.4092053219708107</v>
      </c>
      <c r="E36" s="15">
        <f>SUM(E30:E35)</f>
        <v>132.46530026525625</v>
      </c>
      <c r="F36" s="9">
        <f>E36/C36</f>
        <v>8.0771524551985525</v>
      </c>
      <c r="G36" s="2">
        <f t="shared" si="13"/>
        <v>16.399999999999999</v>
      </c>
      <c r="H36" s="17">
        <f>D31/(D30+D32+D33+D34+D35)</f>
        <v>0.37416413649030811</v>
      </c>
      <c r="I36" s="35">
        <f t="shared" si="14"/>
        <v>1.7329683199999999</v>
      </c>
      <c r="J36" s="37">
        <f t="shared" si="15"/>
        <v>786.06056620543995</v>
      </c>
      <c r="K36" s="112" t="s">
        <v>10</v>
      </c>
      <c r="L36" s="112"/>
      <c r="M36" s="112"/>
      <c r="N36" s="112"/>
    </row>
    <row r="37" spans="1:21" x14ac:dyDescent="0.2">
      <c r="G37" s="30"/>
    </row>
    <row r="38" spans="1:21" x14ac:dyDescent="0.2">
      <c r="F38" s="7"/>
      <c r="G38" s="1"/>
      <c r="H38" s="1"/>
      <c r="Q38" s="31"/>
    </row>
    <row r="39" spans="1:21" x14ac:dyDescent="0.2">
      <c r="A39" s="5" t="s">
        <v>40</v>
      </c>
      <c r="B39" s="1"/>
      <c r="D39" t="s">
        <v>0</v>
      </c>
      <c r="F39" s="8"/>
      <c r="G39" s="3"/>
      <c r="H39" s="1"/>
      <c r="Q39" s="32"/>
      <c r="R39" s="32"/>
      <c r="S39" s="32"/>
    </row>
    <row r="40" spans="1:21" ht="16" thickBot="1" x14ac:dyDescent="0.25">
      <c r="A40" s="19"/>
      <c r="B40" s="3"/>
      <c r="D40">
        <v>94</v>
      </c>
      <c r="Q40" s="32"/>
      <c r="R40" s="32"/>
      <c r="S40" s="32"/>
    </row>
    <row r="41" spans="1:21" ht="17" thickBot="1" x14ac:dyDescent="0.25">
      <c r="A41" s="62" t="s">
        <v>30</v>
      </c>
      <c r="B41" s="53" t="s">
        <v>1</v>
      </c>
      <c r="C41" s="53" t="s">
        <v>2</v>
      </c>
      <c r="D41" s="53" t="s">
        <v>3</v>
      </c>
      <c r="E41" s="54" t="s">
        <v>4</v>
      </c>
      <c r="F41" s="55" t="s">
        <v>11</v>
      </c>
      <c r="G41" s="56" t="s">
        <v>12</v>
      </c>
      <c r="H41" s="57" t="s">
        <v>5</v>
      </c>
      <c r="I41" s="58" t="s">
        <v>19</v>
      </c>
      <c r="J41" s="59" t="s">
        <v>20</v>
      </c>
      <c r="K41" s="101" t="s">
        <v>30</v>
      </c>
      <c r="L41" s="101"/>
      <c r="M41" s="101"/>
      <c r="N41" s="102"/>
      <c r="O41" s="94" t="s">
        <v>37</v>
      </c>
      <c r="P41" s="92"/>
      <c r="Q41" s="93" t="s">
        <v>38</v>
      </c>
      <c r="R41" s="93"/>
      <c r="S41" t="s">
        <v>41</v>
      </c>
      <c r="T41" t="s">
        <v>42</v>
      </c>
      <c r="U41" s="82" t="s">
        <v>44</v>
      </c>
    </row>
    <row r="42" spans="1:21" ht="16" x14ac:dyDescent="0.2">
      <c r="A42" s="63" t="s">
        <v>6</v>
      </c>
      <c r="B42" s="28">
        <v>3.14</v>
      </c>
      <c r="C42" s="47">
        <f>B42*8.345404452</f>
        <v>26.204569979280002</v>
      </c>
      <c r="D42" s="28">
        <v>1</v>
      </c>
      <c r="E42" s="48">
        <v>94</v>
      </c>
      <c r="F42" s="47">
        <f>E42/C42</f>
        <v>3.5871605629982084</v>
      </c>
      <c r="G42" s="49">
        <f t="shared" ref="G42:G48" si="16">E42/F42</f>
        <v>26.204569979280002</v>
      </c>
      <c r="H42" s="50">
        <f>E43/E42</f>
        <v>0.38371617137776887</v>
      </c>
      <c r="I42" s="51">
        <f>E42/$E$48*$N$3*$C$48</f>
        <v>1.2296693592134005</v>
      </c>
      <c r="J42" s="52">
        <f t="shared" ref="J42:J48" si="17">I42*453.592</f>
        <v>557.76818398432476</v>
      </c>
      <c r="K42" s="113" t="s">
        <v>6</v>
      </c>
      <c r="L42" s="114"/>
      <c r="M42" s="114"/>
      <c r="N42" s="114"/>
      <c r="O42" s="94">
        <f>2*J42</f>
        <v>1115.5363679686495</v>
      </c>
      <c r="P42" s="92"/>
      <c r="Q42" s="93">
        <f>3*J42</f>
        <v>1673.3045519529742</v>
      </c>
      <c r="R42" s="93"/>
      <c r="S42" s="89">
        <f>2*Q42</f>
        <v>3346.6091039059484</v>
      </c>
      <c r="T42" s="89">
        <f>2.25*J42</f>
        <v>1254.9784139647306</v>
      </c>
      <c r="U42" s="82">
        <f>(T42/$T$42)*100</f>
        <v>100</v>
      </c>
    </row>
    <row r="43" spans="1:21" ht="16" x14ac:dyDescent="0.2">
      <c r="A43" s="46" t="s">
        <v>7</v>
      </c>
      <c r="B43" s="4">
        <v>1</v>
      </c>
      <c r="C43" s="4">
        <v>8.3249999999999993</v>
      </c>
      <c r="D43" s="11">
        <f>E43/E42</f>
        <v>0.38371617137776887</v>
      </c>
      <c r="E43" s="15">
        <f>F43*C43</f>
        <v>36.069320109510272</v>
      </c>
      <c r="F43" s="9">
        <f>(94*(1-C48/C42)+94*((D44*(1-C48/C44)+D45*(1-C48/C45)+D46*(1-C48/C46)+(D47*(1-C48/C47)))))/(C48-C43)</f>
        <v>4.3326510642054386</v>
      </c>
      <c r="G43" s="2">
        <f t="shared" si="16"/>
        <v>8.3249999999999993</v>
      </c>
      <c r="H43" s="16" t="s">
        <v>2</v>
      </c>
      <c r="I43" s="51">
        <f t="shared" ref="I43:I47" si="18">E43/$E$48*$N$3*$C$48</f>
        <v>0.47184401857792041</v>
      </c>
      <c r="J43" s="36">
        <f t="shared" si="17"/>
        <v>214.02467207479606</v>
      </c>
      <c r="K43" s="111" t="s">
        <v>7</v>
      </c>
      <c r="L43" s="112"/>
      <c r="M43" s="112"/>
      <c r="N43" s="112"/>
      <c r="O43" s="94">
        <f t="shared" ref="O43:O49" si="19">2*J43</f>
        <v>428.04934414959212</v>
      </c>
      <c r="P43" s="92"/>
      <c r="Q43" s="93">
        <f t="shared" ref="Q43:Q49" si="20">3*J43</f>
        <v>642.07401622438817</v>
      </c>
      <c r="R43" s="93"/>
      <c r="S43" s="89">
        <f t="shared" ref="S43:S49" si="21">2*Q43</f>
        <v>1284.1480324487763</v>
      </c>
      <c r="T43" s="89">
        <f t="shared" ref="T43:T49" si="22">2.25*J43</f>
        <v>481.5555121682911</v>
      </c>
      <c r="U43" s="82">
        <f t="shared" ref="U43:U48" si="23">(T43/$T$42)*100</f>
        <v>38.37161713777688</v>
      </c>
    </row>
    <row r="44" spans="1:21" ht="16" x14ac:dyDescent="0.2">
      <c r="A44" s="46" t="s">
        <v>24</v>
      </c>
      <c r="B44" s="9">
        <v>2.2669999999999999</v>
      </c>
      <c r="C44" s="4">
        <f>B44*8.33</f>
        <v>18.88411</v>
      </c>
      <c r="D44" s="4">
        <v>8.0000000000000007E-5</v>
      </c>
      <c r="E44" s="14">
        <f>E42*D44</f>
        <v>7.5200000000000006E-3</v>
      </c>
      <c r="F44" s="9">
        <f>E44/C44</f>
        <v>3.9821839631309079E-4</v>
      </c>
      <c r="G44" s="2">
        <f t="shared" si="16"/>
        <v>18.88411</v>
      </c>
      <c r="H44" s="18">
        <f>G48</f>
        <v>16.399999999999999</v>
      </c>
      <c r="I44" s="51">
        <f t="shared" si="18"/>
        <v>9.8373548737072045E-5</v>
      </c>
      <c r="J44" s="36">
        <f t="shared" si="17"/>
        <v>4.4621454718745984E-2</v>
      </c>
      <c r="K44" s="111" t="s">
        <v>24</v>
      </c>
      <c r="L44" s="112"/>
      <c r="M44" s="112"/>
      <c r="N44" s="112"/>
      <c r="O44" s="94">
        <f t="shared" si="19"/>
        <v>8.9242909437491968E-2</v>
      </c>
      <c r="P44" s="92"/>
      <c r="Q44" s="93">
        <f t="shared" si="20"/>
        <v>0.13386436415623795</v>
      </c>
      <c r="R44" s="93"/>
      <c r="S44" s="89">
        <f t="shared" si="21"/>
        <v>0.26772872831247591</v>
      </c>
      <c r="T44" s="89">
        <f t="shared" si="22"/>
        <v>0.10039827311717847</v>
      </c>
      <c r="U44" s="82">
        <f t="shared" si="23"/>
        <v>8.0000000000000019E-3</v>
      </c>
    </row>
    <row r="45" spans="1:21" ht="16" x14ac:dyDescent="0.2">
      <c r="A45" s="46" t="s">
        <v>28</v>
      </c>
      <c r="B45" s="9">
        <v>2.2599999999999998</v>
      </c>
      <c r="C45" s="4">
        <f>B45*C43</f>
        <v>18.814499999999995</v>
      </c>
      <c r="D45" s="88">
        <v>2.5000000000000001E-3</v>
      </c>
      <c r="E45" s="14">
        <f>D45*E42</f>
        <v>0.23500000000000001</v>
      </c>
      <c r="F45" s="9">
        <f>E45/C45</f>
        <v>1.2490366472667361E-2</v>
      </c>
      <c r="G45" s="12">
        <f t="shared" si="16"/>
        <v>18.814499999999995</v>
      </c>
      <c r="H45" s="18"/>
      <c r="I45" s="51">
        <f t="shared" si="18"/>
        <v>3.0741733980335015E-3</v>
      </c>
      <c r="J45" s="36">
        <f t="shared" si="17"/>
        <v>1.3944204599608119</v>
      </c>
      <c r="K45" s="111" t="s">
        <v>28</v>
      </c>
      <c r="L45" s="112"/>
      <c r="M45" s="112"/>
      <c r="N45" s="112"/>
      <c r="O45" s="94">
        <f t="shared" si="19"/>
        <v>2.7888409199216238</v>
      </c>
      <c r="P45" s="92"/>
      <c r="Q45" s="93">
        <f t="shared" si="20"/>
        <v>4.1832613798824356</v>
      </c>
      <c r="R45" s="93"/>
      <c r="S45" s="89">
        <f t="shared" si="21"/>
        <v>8.3665227597648713</v>
      </c>
      <c r="T45" s="89">
        <f t="shared" si="22"/>
        <v>3.1374460349118269</v>
      </c>
      <c r="U45" s="82">
        <f t="shared" si="23"/>
        <v>0.25000000000000006</v>
      </c>
    </row>
    <row r="46" spans="1:21" ht="16" x14ac:dyDescent="0.2">
      <c r="A46" s="46" t="s">
        <v>29</v>
      </c>
      <c r="B46" s="9">
        <v>0.60870000000000002</v>
      </c>
      <c r="C46" s="4">
        <f>B46*C43</f>
        <v>5.0674275</v>
      </c>
      <c r="D46" s="4">
        <v>3.0000000000000001E-3</v>
      </c>
      <c r="E46" s="14">
        <f>D46*E42</f>
        <v>0.28200000000000003</v>
      </c>
      <c r="F46" s="9">
        <f>E46/C46</f>
        <v>5.5649538153234562E-2</v>
      </c>
      <c r="G46" s="2">
        <f t="shared" si="16"/>
        <v>5.0674275</v>
      </c>
      <c r="H46" s="18"/>
      <c r="I46" s="51">
        <f t="shared" si="18"/>
        <v>3.6890080776402017E-3</v>
      </c>
      <c r="J46" s="36">
        <f t="shared" si="17"/>
        <v>1.6733045519529743</v>
      </c>
      <c r="K46" s="111" t="s">
        <v>29</v>
      </c>
      <c r="L46" s="112"/>
      <c r="M46" s="112"/>
      <c r="N46" s="112"/>
      <c r="O46" s="94">
        <f t="shared" si="19"/>
        <v>3.3466091039059487</v>
      </c>
      <c r="P46" s="92"/>
      <c r="Q46" s="93">
        <f t="shared" si="20"/>
        <v>5.0199136558589235</v>
      </c>
      <c r="R46" s="93"/>
      <c r="S46" s="89">
        <f t="shared" si="21"/>
        <v>10.039827311717847</v>
      </c>
      <c r="T46" s="89">
        <f t="shared" si="22"/>
        <v>3.7649352418941922</v>
      </c>
      <c r="U46" s="82">
        <f t="shared" si="23"/>
        <v>0.3</v>
      </c>
    </row>
    <row r="47" spans="1:21" ht="16" x14ac:dyDescent="0.2">
      <c r="A47" s="46" t="s">
        <v>8</v>
      </c>
      <c r="B47" s="4">
        <v>2.5219999999999998</v>
      </c>
      <c r="C47" s="9">
        <f>B47*8.345404452</f>
        <v>21.047110027944001</v>
      </c>
      <c r="D47" s="4">
        <v>0.02</v>
      </c>
      <c r="E47" s="14">
        <f>E42*D47</f>
        <v>1.8800000000000001</v>
      </c>
      <c r="F47" s="9">
        <f>E47/C47</f>
        <v>8.932342718330194E-2</v>
      </c>
      <c r="G47" s="12">
        <f t="shared" si="16"/>
        <v>21.047110027944001</v>
      </c>
      <c r="H47" s="16" t="s">
        <v>9</v>
      </c>
      <c r="I47" s="51">
        <f t="shared" si="18"/>
        <v>2.4593387184268012E-2</v>
      </c>
      <c r="J47" s="36">
        <f t="shared" si="17"/>
        <v>11.155363679686495</v>
      </c>
      <c r="K47" s="111" t="s">
        <v>8</v>
      </c>
      <c r="L47" s="112"/>
      <c r="M47" s="112"/>
      <c r="N47" s="112"/>
      <c r="O47" s="94">
        <f t="shared" si="19"/>
        <v>22.31072735937299</v>
      </c>
      <c r="P47" s="92"/>
      <c r="Q47" s="93">
        <f t="shared" si="20"/>
        <v>33.466091039059485</v>
      </c>
      <c r="R47" s="93"/>
      <c r="S47" s="89">
        <f t="shared" si="21"/>
        <v>66.93218207811897</v>
      </c>
      <c r="T47" s="89">
        <f t="shared" si="22"/>
        <v>25.099568279294616</v>
      </c>
      <c r="U47" s="82">
        <f t="shared" si="23"/>
        <v>2.0000000000000004</v>
      </c>
    </row>
    <row r="48" spans="1:21" ht="16" x14ac:dyDescent="0.2">
      <c r="A48" s="46" t="s">
        <v>10</v>
      </c>
      <c r="B48" s="10">
        <f>C48*0.1198246</f>
        <v>1.9651234399999999</v>
      </c>
      <c r="C48" s="13">
        <v>16.399999999999999</v>
      </c>
      <c r="D48" s="9">
        <f>SUM(D42:D47)</f>
        <v>1.4092961713777687</v>
      </c>
      <c r="E48" s="15">
        <f>SUM(E42:E47)</f>
        <v>132.47384010951029</v>
      </c>
      <c r="F48" s="9">
        <f>E48/C48</f>
        <v>8.0776731774091655</v>
      </c>
      <c r="G48" s="2">
        <f t="shared" si="16"/>
        <v>16.399999999999999</v>
      </c>
      <c r="H48" s="17">
        <f>D43/(D42+D44+D45+D46+D47)</f>
        <v>0.37414552875228541</v>
      </c>
      <c r="I48" s="35">
        <f>E48/$E$48*$N$3*$C$48</f>
        <v>1.7329683199999999</v>
      </c>
      <c r="J48" s="37">
        <f t="shared" si="17"/>
        <v>786.06056620543995</v>
      </c>
      <c r="K48" s="111" t="s">
        <v>10</v>
      </c>
      <c r="L48" s="112"/>
      <c r="M48" s="112"/>
      <c r="N48" s="112"/>
      <c r="O48" s="94">
        <f t="shared" si="19"/>
        <v>1572.1211324108799</v>
      </c>
      <c r="P48" s="92"/>
      <c r="Q48" s="93">
        <f t="shared" si="20"/>
        <v>2358.1816986163199</v>
      </c>
      <c r="R48" s="93"/>
      <c r="S48" s="89">
        <f t="shared" si="21"/>
        <v>4716.3633972326397</v>
      </c>
      <c r="T48" s="89">
        <f t="shared" si="22"/>
        <v>1768.63627396224</v>
      </c>
      <c r="U48" s="82">
        <f t="shared" si="23"/>
        <v>140.92961713777692</v>
      </c>
    </row>
    <row r="49" spans="1:20" x14ac:dyDescent="0.2">
      <c r="F49" s="7"/>
      <c r="G49" s="1"/>
      <c r="H49" s="1"/>
      <c r="I49" t="s">
        <v>39</v>
      </c>
      <c r="J49" s="86">
        <f>J48/B48</f>
        <v>400.00569440331952</v>
      </c>
      <c r="O49" s="94">
        <f t="shared" si="19"/>
        <v>800.01138880663905</v>
      </c>
      <c r="P49" s="92"/>
      <c r="Q49" s="93">
        <f t="shared" si="20"/>
        <v>1200.0170832099586</v>
      </c>
      <c r="R49" s="93"/>
      <c r="S49" s="89">
        <f t="shared" si="21"/>
        <v>2400.0341664199173</v>
      </c>
      <c r="T49" s="89">
        <f t="shared" si="22"/>
        <v>900.01281240746891</v>
      </c>
    </row>
    <row r="50" spans="1:20" x14ac:dyDescent="0.2">
      <c r="F50" s="7"/>
      <c r="G50" s="1"/>
      <c r="H50" s="1"/>
      <c r="I50" s="6"/>
    </row>
    <row r="51" spans="1:20" x14ac:dyDescent="0.2">
      <c r="A51" s="5" t="s">
        <v>25</v>
      </c>
      <c r="B51" s="1"/>
      <c r="D51" t="s">
        <v>0</v>
      </c>
      <c r="F51" s="8"/>
      <c r="G51" s="3"/>
      <c r="H51" s="1"/>
    </row>
    <row r="52" spans="1:20" ht="16" thickBot="1" x14ac:dyDescent="0.25">
      <c r="A52" s="3"/>
      <c r="B52" s="3"/>
      <c r="D52">
        <v>94</v>
      </c>
    </row>
    <row r="53" spans="1:20" ht="17" thickBot="1" x14ac:dyDescent="0.25">
      <c r="A53" s="62" t="s">
        <v>30</v>
      </c>
      <c r="B53" s="53" t="s">
        <v>1</v>
      </c>
      <c r="C53" s="53" t="s">
        <v>2</v>
      </c>
      <c r="D53" s="53" t="s">
        <v>3</v>
      </c>
      <c r="E53" s="54" t="s">
        <v>4</v>
      </c>
      <c r="F53" s="55" t="s">
        <v>11</v>
      </c>
      <c r="G53" s="56" t="s">
        <v>12</v>
      </c>
      <c r="H53" s="57" t="s">
        <v>5</v>
      </c>
      <c r="I53" s="58" t="s">
        <v>19</v>
      </c>
      <c r="J53" s="59" t="s">
        <v>20</v>
      </c>
      <c r="K53" s="101" t="s">
        <v>30</v>
      </c>
      <c r="L53" s="101"/>
      <c r="M53" s="101"/>
      <c r="N53" s="102"/>
      <c r="O53" s="94" t="s">
        <v>37</v>
      </c>
      <c r="P53" s="92"/>
      <c r="Q53" s="93" t="s">
        <v>38</v>
      </c>
      <c r="R53" s="93"/>
      <c r="S53" t="s">
        <v>41</v>
      </c>
      <c r="T53" t="s">
        <v>42</v>
      </c>
    </row>
    <row r="54" spans="1:20" ht="16" x14ac:dyDescent="0.2">
      <c r="A54" s="63" t="s">
        <v>6</v>
      </c>
      <c r="B54" s="28">
        <v>3.14</v>
      </c>
      <c r="C54" s="47">
        <f>B54*8.345404452</f>
        <v>26.204569979280002</v>
      </c>
      <c r="D54" s="28">
        <v>1</v>
      </c>
      <c r="E54" s="48">
        <v>94</v>
      </c>
      <c r="F54" s="47">
        <f>E54/C54</f>
        <v>3.5871605629982084</v>
      </c>
      <c r="G54" s="49">
        <f t="shared" ref="G54:G60" si="24">E54/F54</f>
        <v>26.204569979280002</v>
      </c>
      <c r="H54" s="50">
        <f>E55/E54</f>
        <v>0.3837270207847267</v>
      </c>
      <c r="I54" s="51">
        <f>E54/$E$60*$N$3*$C$60</f>
        <v>1.2295900944476612</v>
      </c>
      <c r="J54" s="52">
        <f t="shared" ref="J54:J60" si="25">I54*453.592</f>
        <v>557.73223012070355</v>
      </c>
      <c r="K54" s="113" t="s">
        <v>6</v>
      </c>
      <c r="L54" s="114"/>
      <c r="M54" s="114"/>
      <c r="N54" s="114"/>
      <c r="O54" s="94">
        <f>2*J54</f>
        <v>1115.4644602414071</v>
      </c>
      <c r="P54" s="92"/>
      <c r="Q54" s="93">
        <f>3*J54</f>
        <v>1673.1966903621105</v>
      </c>
      <c r="R54" s="93"/>
      <c r="S54">
        <f>2*Q54</f>
        <v>3346.3933807242211</v>
      </c>
      <c r="T54" s="89">
        <f>2.25*J54</f>
        <v>1254.8975177715829</v>
      </c>
    </row>
    <row r="55" spans="1:20" ht="16" x14ac:dyDescent="0.2">
      <c r="A55" s="46" t="s">
        <v>7</v>
      </c>
      <c r="B55" s="4">
        <v>1</v>
      </c>
      <c r="C55" s="4">
        <v>8.3249999999999993</v>
      </c>
      <c r="D55" s="11">
        <f>E55/E54</f>
        <v>0.3837270207847267</v>
      </c>
      <c r="E55" s="15">
        <f>F55*C55</f>
        <v>36.070339953764311</v>
      </c>
      <c r="F55" s="9">
        <f>(94*(1-C60/C54)+94*((D56*(1-C60/C56)+D57*(1-C60/C57)+D58*(1-C60/C58)+(D59*(1-C60/C59)))))/(C60-C55)</f>
        <v>4.3327735680197375</v>
      </c>
      <c r="G55" s="2">
        <f t="shared" si="24"/>
        <v>8.3249999999999993</v>
      </c>
      <c r="H55" s="16" t="s">
        <v>2</v>
      </c>
      <c r="I55" s="51">
        <f t="shared" ref="I55:I59" si="26">E55/$E$60*$N$3*$C$60</f>
        <v>0.47182694372881168</v>
      </c>
      <c r="J55" s="36">
        <f t="shared" si="25"/>
        <v>214.01692705983913</v>
      </c>
      <c r="K55" s="111" t="s">
        <v>7</v>
      </c>
      <c r="L55" s="112"/>
      <c r="M55" s="112"/>
      <c r="N55" s="112"/>
      <c r="O55" s="94">
        <f t="shared" ref="O55:O61" si="27">2*J55</f>
        <v>428.03385411967827</v>
      </c>
      <c r="P55" s="92"/>
      <c r="Q55" s="93">
        <f t="shared" ref="Q55:Q61" si="28">3*J55</f>
        <v>642.05078117951734</v>
      </c>
      <c r="R55" s="93"/>
      <c r="S55">
        <f t="shared" ref="S55:S61" si="29">2*Q55</f>
        <v>1284.1015623590347</v>
      </c>
      <c r="T55" s="89">
        <f t="shared" ref="T55:T61" si="30">2.25*J55</f>
        <v>481.53808588463806</v>
      </c>
    </row>
    <row r="56" spans="1:20" ht="16" x14ac:dyDescent="0.2">
      <c r="A56" s="46" t="s">
        <v>24</v>
      </c>
      <c r="B56" s="9">
        <v>2.2669999999999999</v>
      </c>
      <c r="C56" s="4">
        <f>B56*8.33</f>
        <v>18.88411</v>
      </c>
      <c r="D56" s="4">
        <v>1.6000000000000001E-4</v>
      </c>
      <c r="E56" s="14">
        <f>E54*D56</f>
        <v>1.5040000000000001E-2</v>
      </c>
      <c r="F56" s="9">
        <f>E56/C56</f>
        <v>7.9643679262618157E-4</v>
      </c>
      <c r="G56" s="2">
        <f t="shared" si="24"/>
        <v>18.88411</v>
      </c>
      <c r="H56" s="18">
        <f>G60</f>
        <v>16.399999999999999</v>
      </c>
      <c r="I56" s="51">
        <f t="shared" si="26"/>
        <v>1.9673441511162577E-4</v>
      </c>
      <c r="J56" s="36">
        <f t="shared" si="25"/>
        <v>8.9237156819312546E-2</v>
      </c>
      <c r="K56" s="111" t="s">
        <v>24</v>
      </c>
      <c r="L56" s="112"/>
      <c r="M56" s="112"/>
      <c r="N56" s="112"/>
      <c r="O56" s="94">
        <f t="shared" si="27"/>
        <v>0.17847431363862509</v>
      </c>
      <c r="P56" s="92"/>
      <c r="Q56" s="93">
        <f t="shared" si="28"/>
        <v>0.26771147045793764</v>
      </c>
      <c r="R56" s="93"/>
      <c r="S56">
        <f t="shared" si="29"/>
        <v>0.53542294091587528</v>
      </c>
      <c r="T56" s="89">
        <f t="shared" si="30"/>
        <v>0.20078360284345323</v>
      </c>
    </row>
    <row r="57" spans="1:20" ht="16" x14ac:dyDescent="0.2">
      <c r="A57" s="46" t="s">
        <v>28</v>
      </c>
      <c r="B57" s="9">
        <v>2.2599999999999998</v>
      </c>
      <c r="C57" s="4">
        <f>B57*C55</f>
        <v>18.814499999999995</v>
      </c>
      <c r="D57" s="88">
        <v>2.5000000000000001E-3</v>
      </c>
      <c r="E57" s="14">
        <f>D57*E54</f>
        <v>0.23500000000000001</v>
      </c>
      <c r="F57" s="9">
        <f>E57/C57</f>
        <v>1.2490366472667361E-2</v>
      </c>
      <c r="G57" s="12">
        <f t="shared" si="24"/>
        <v>18.814499999999995</v>
      </c>
      <c r="H57" s="18"/>
      <c r="I57" s="51">
        <f t="shared" si="26"/>
        <v>3.0739752361191529E-3</v>
      </c>
      <c r="J57" s="36">
        <f t="shared" si="25"/>
        <v>1.3943305753017587</v>
      </c>
      <c r="K57" s="111" t="s">
        <v>28</v>
      </c>
      <c r="L57" s="112"/>
      <c r="M57" s="112"/>
      <c r="N57" s="112"/>
      <c r="O57" s="94">
        <f t="shared" si="27"/>
        <v>2.7886611506035175</v>
      </c>
      <c r="P57" s="92"/>
      <c r="Q57" s="93">
        <f t="shared" si="28"/>
        <v>4.1829917259052767</v>
      </c>
      <c r="R57" s="93"/>
      <c r="S57">
        <f t="shared" si="29"/>
        <v>8.3659834518105534</v>
      </c>
      <c r="T57" s="89">
        <f t="shared" si="30"/>
        <v>3.1372437944289571</v>
      </c>
    </row>
    <row r="58" spans="1:20" ht="16" x14ac:dyDescent="0.2">
      <c r="A58" s="46" t="s">
        <v>29</v>
      </c>
      <c r="B58" s="9">
        <v>0.60870000000000002</v>
      </c>
      <c r="C58" s="4">
        <f>B58*C55</f>
        <v>5.0674275</v>
      </c>
      <c r="D58" s="4">
        <v>3.0000000000000001E-3</v>
      </c>
      <c r="E58" s="14">
        <f>D58*E54</f>
        <v>0.28200000000000003</v>
      </c>
      <c r="F58" s="9">
        <f>E58/C58</f>
        <v>5.5649538153234562E-2</v>
      </c>
      <c r="G58" s="2">
        <f t="shared" si="24"/>
        <v>5.0674275</v>
      </c>
      <c r="H58" s="18"/>
      <c r="I58" s="51">
        <f t="shared" si="26"/>
        <v>3.6887702833429837E-3</v>
      </c>
      <c r="J58" s="36">
        <f t="shared" si="25"/>
        <v>1.6731966903621105</v>
      </c>
      <c r="K58" s="111" t="s">
        <v>29</v>
      </c>
      <c r="L58" s="112"/>
      <c r="M58" s="112"/>
      <c r="N58" s="112"/>
      <c r="O58" s="94">
        <f t="shared" si="27"/>
        <v>3.346393380724221</v>
      </c>
      <c r="P58" s="92"/>
      <c r="Q58" s="93">
        <f t="shared" si="28"/>
        <v>5.0195900710863315</v>
      </c>
      <c r="R58" s="93"/>
      <c r="S58">
        <f t="shared" si="29"/>
        <v>10.039180142172663</v>
      </c>
      <c r="T58" s="89">
        <f t="shared" si="30"/>
        <v>3.7646925533147488</v>
      </c>
    </row>
    <row r="59" spans="1:20" ht="16" x14ac:dyDescent="0.2">
      <c r="A59" s="46" t="s">
        <v>8</v>
      </c>
      <c r="B59" s="4">
        <v>2.5219999999999998</v>
      </c>
      <c r="C59" s="9">
        <f>B59*8.345404452</f>
        <v>21.047110027944001</v>
      </c>
      <c r="D59" s="4">
        <v>0.02</v>
      </c>
      <c r="E59" s="14">
        <f>E54*D59</f>
        <v>1.8800000000000001</v>
      </c>
      <c r="F59" s="9">
        <f>E59/C59</f>
        <v>8.932342718330194E-2</v>
      </c>
      <c r="G59" s="12">
        <f t="shared" si="24"/>
        <v>21.047110027944001</v>
      </c>
      <c r="H59" s="16" t="s">
        <v>9</v>
      </c>
      <c r="I59" s="51">
        <f t="shared" si="26"/>
        <v>2.4591801888953223E-2</v>
      </c>
      <c r="J59" s="36">
        <f t="shared" si="25"/>
        <v>11.15464460241407</v>
      </c>
      <c r="K59" s="111" t="s">
        <v>8</v>
      </c>
      <c r="L59" s="112"/>
      <c r="M59" s="112"/>
      <c r="N59" s="112"/>
      <c r="O59" s="94">
        <f t="shared" si="27"/>
        <v>22.30928920482814</v>
      </c>
      <c r="P59" s="92"/>
      <c r="Q59" s="93">
        <f t="shared" si="28"/>
        <v>33.463933807242213</v>
      </c>
      <c r="R59" s="93"/>
      <c r="S59">
        <f t="shared" si="29"/>
        <v>66.927867614484427</v>
      </c>
      <c r="T59" s="89">
        <f t="shared" si="30"/>
        <v>25.097950355431657</v>
      </c>
    </row>
    <row r="60" spans="1:20" ht="16" x14ac:dyDescent="0.2">
      <c r="A60" s="46" t="s">
        <v>10</v>
      </c>
      <c r="B60" s="10">
        <f>C60*0.1198246</f>
        <v>1.9651234399999999</v>
      </c>
      <c r="C60" s="13">
        <v>16.399999999999999</v>
      </c>
      <c r="D60" s="9">
        <f>SUM(D54:D59)</f>
        <v>1.4093870207847266</v>
      </c>
      <c r="E60" s="15">
        <f>SUM(E54:E59)</f>
        <v>132.48237995376434</v>
      </c>
      <c r="F60" s="9">
        <f>E60/C60</f>
        <v>8.0781938996197766</v>
      </c>
      <c r="G60" s="2">
        <f t="shared" si="24"/>
        <v>16.399999999999999</v>
      </c>
      <c r="H60" s="17">
        <f>D55/(D54+D56+D57+D58+D59)</f>
        <v>0.37412692391701613</v>
      </c>
      <c r="I60" s="35">
        <f>E60/$E$60*$N$3*$C$60</f>
        <v>1.7329683199999999</v>
      </c>
      <c r="J60" s="37">
        <f t="shared" si="25"/>
        <v>786.06056620543995</v>
      </c>
      <c r="K60" s="111" t="s">
        <v>10</v>
      </c>
      <c r="L60" s="112"/>
      <c r="M60" s="112"/>
      <c r="N60" s="112"/>
      <c r="O60" s="94">
        <f t="shared" si="27"/>
        <v>1572.1211324108799</v>
      </c>
      <c r="P60" s="92"/>
      <c r="Q60" s="93">
        <f t="shared" si="28"/>
        <v>2358.1816986163199</v>
      </c>
      <c r="R60" s="93"/>
      <c r="S60">
        <f t="shared" si="29"/>
        <v>4716.3633972326397</v>
      </c>
      <c r="T60" s="89">
        <f t="shared" si="30"/>
        <v>1768.63627396224</v>
      </c>
    </row>
    <row r="61" spans="1:20" x14ac:dyDescent="0.2">
      <c r="F61" s="7"/>
      <c r="G61" s="1"/>
      <c r="H61" s="1"/>
      <c r="I61" t="s">
        <v>39</v>
      </c>
      <c r="J61" s="86">
        <f>J60/B60</f>
        <v>400.00569440331952</v>
      </c>
      <c r="O61" s="94">
        <f t="shared" si="27"/>
        <v>800.01138880663905</v>
      </c>
      <c r="P61" s="92"/>
      <c r="Q61" s="93">
        <f t="shared" si="28"/>
        <v>1200.0170832099586</v>
      </c>
      <c r="R61" s="93"/>
      <c r="S61">
        <f t="shared" si="29"/>
        <v>2400.0341664199173</v>
      </c>
      <c r="T61" s="89">
        <f t="shared" si="30"/>
        <v>900.01281240746891</v>
      </c>
    </row>
    <row r="62" spans="1:20" x14ac:dyDescent="0.2">
      <c r="F62" s="7"/>
      <c r="G62" s="1"/>
      <c r="H62" s="1"/>
    </row>
    <row r="63" spans="1:20" x14ac:dyDescent="0.2">
      <c r="A63" s="5" t="s">
        <v>26</v>
      </c>
      <c r="B63" s="1"/>
      <c r="D63" t="s">
        <v>0</v>
      </c>
      <c r="F63" s="8"/>
      <c r="G63" s="3"/>
      <c r="H63" s="1"/>
    </row>
    <row r="64" spans="1:20" ht="16" thickBot="1" x14ac:dyDescent="0.25">
      <c r="A64" s="3"/>
      <c r="B64" s="3"/>
      <c r="D64">
        <v>94</v>
      </c>
    </row>
    <row r="65" spans="1:27" ht="17" thickBot="1" x14ac:dyDescent="0.25">
      <c r="A65" s="62" t="s">
        <v>30</v>
      </c>
      <c r="B65" s="53" t="s">
        <v>1</v>
      </c>
      <c r="C65" s="53" t="s">
        <v>2</v>
      </c>
      <c r="D65" s="53" t="s">
        <v>3</v>
      </c>
      <c r="E65" s="54" t="s">
        <v>4</v>
      </c>
      <c r="F65" s="55" t="s">
        <v>11</v>
      </c>
      <c r="G65" s="56" t="s">
        <v>12</v>
      </c>
      <c r="H65" s="57" t="s">
        <v>5</v>
      </c>
      <c r="I65" s="58" t="s">
        <v>19</v>
      </c>
      <c r="J65" s="59" t="s">
        <v>20</v>
      </c>
      <c r="K65" s="101" t="s">
        <v>30</v>
      </c>
      <c r="L65" s="101"/>
      <c r="M65" s="101"/>
      <c r="N65" s="102"/>
      <c r="O65" t="s">
        <v>41</v>
      </c>
      <c r="P65" t="s">
        <v>42</v>
      </c>
      <c r="Q65" t="s">
        <v>43</v>
      </c>
    </row>
    <row r="66" spans="1:27" ht="16" x14ac:dyDescent="0.2">
      <c r="A66" s="63" t="s">
        <v>6</v>
      </c>
      <c r="B66" s="28">
        <v>3.14</v>
      </c>
      <c r="C66" s="47">
        <f>B66*8.345404452</f>
        <v>26.204569979280002</v>
      </c>
      <c r="D66" s="28">
        <v>1</v>
      </c>
      <c r="E66" s="48">
        <v>94</v>
      </c>
      <c r="F66" s="47">
        <f>E66/C66</f>
        <v>3.5871605629982084</v>
      </c>
      <c r="G66" s="49">
        <f t="shared" ref="G66:G72" si="31">E66/F66</f>
        <v>26.204569979280002</v>
      </c>
      <c r="H66" s="50">
        <f>E67/E66</f>
        <v>0.38377313076429764</v>
      </c>
      <c r="I66" s="51">
        <f>E66/$E$72*$N$3*$C$72</f>
        <v>1.2292533331660849</v>
      </c>
      <c r="J66" s="52">
        <f t="shared" ref="J66:J72" si="32">I66*453.592</f>
        <v>557.57947789747072</v>
      </c>
      <c r="K66" s="113" t="s">
        <v>6</v>
      </c>
      <c r="L66" s="114"/>
      <c r="M66" s="114"/>
      <c r="N66" s="114"/>
      <c r="O66">
        <f>6*J66</f>
        <v>3345.4768673848243</v>
      </c>
      <c r="P66" s="89">
        <f>2.25*J66</f>
        <v>1254.5538252693091</v>
      </c>
      <c r="Q66">
        <f>4.5*J66</f>
        <v>2509.1076505386181</v>
      </c>
    </row>
    <row r="67" spans="1:27" ht="16" x14ac:dyDescent="0.2">
      <c r="A67" s="46" t="s">
        <v>7</v>
      </c>
      <c r="B67" s="4">
        <v>1</v>
      </c>
      <c r="C67" s="4">
        <v>8.3249999999999993</v>
      </c>
      <c r="D67" s="11">
        <f>E67/E66</f>
        <v>0.38377313076429764</v>
      </c>
      <c r="E67" s="15">
        <f>F67*C67</f>
        <v>36.074674291843976</v>
      </c>
      <c r="F67" s="9">
        <f>(94*(1-C72/C66)+94*((D68*(1-C72/C68)+D69*(1-C72/C69)+D70*(1-C72/C70)+(D71*(1-C72/C71)))))/(C72-C67)</f>
        <v>4.333294209230508</v>
      </c>
      <c r="G67" s="2">
        <f t="shared" si="31"/>
        <v>8.3249999999999993</v>
      </c>
      <c r="H67" s="16" t="s">
        <v>2</v>
      </c>
      <c r="I67" s="51">
        <f t="shared" ref="I67:I71" si="33">E67/$E$72*$N$3*$C$72</f>
        <v>0.47175440017159664</v>
      </c>
      <c r="J67" s="36">
        <f t="shared" si="32"/>
        <v>213.98402188263486</v>
      </c>
      <c r="K67" s="111" t="s">
        <v>7</v>
      </c>
      <c r="L67" s="112"/>
      <c r="M67" s="112"/>
      <c r="N67" s="112"/>
      <c r="O67">
        <f t="shared" ref="O67:O72" si="34">6*J67</f>
        <v>1283.9041312958093</v>
      </c>
      <c r="P67" s="89">
        <f t="shared" ref="P67:P71" si="35">2.25*J67</f>
        <v>481.46404923592843</v>
      </c>
      <c r="Q67">
        <f t="shared" ref="Q67:Q73" si="36">4.5*J67</f>
        <v>962.92809847185686</v>
      </c>
    </row>
    <row r="68" spans="1:27" ht="16" x14ac:dyDescent="0.2">
      <c r="A68" s="46" t="s">
        <v>24</v>
      </c>
      <c r="B68" s="9">
        <v>2.2669999999999999</v>
      </c>
      <c r="C68" s="4">
        <f>B68*8.33</f>
        <v>18.88411</v>
      </c>
      <c r="D68" s="4">
        <v>5.0000000000000001E-4</v>
      </c>
      <c r="E68" s="14">
        <f>E66*D68</f>
        <v>4.7E-2</v>
      </c>
      <c r="F68" s="9">
        <f>E68/C68</f>
        <v>2.488864976956817E-3</v>
      </c>
      <c r="G68" s="2">
        <f t="shared" si="31"/>
        <v>18.88411</v>
      </c>
      <c r="H68" s="18">
        <f>G72</f>
        <v>16.399999999999999</v>
      </c>
      <c r="I68" s="51">
        <f t="shared" si="33"/>
        <v>6.1462666658304262E-4</v>
      </c>
      <c r="J68" s="36">
        <f t="shared" si="32"/>
        <v>0.27878973894873543</v>
      </c>
      <c r="K68" s="111" t="s">
        <v>24</v>
      </c>
      <c r="L68" s="112"/>
      <c r="M68" s="112"/>
      <c r="N68" s="112"/>
      <c r="O68">
        <f t="shared" si="34"/>
        <v>1.6727384336924125</v>
      </c>
      <c r="P68" s="89">
        <f t="shared" si="35"/>
        <v>0.62727691263465468</v>
      </c>
      <c r="Q68">
        <f t="shared" si="36"/>
        <v>1.2545538252693094</v>
      </c>
    </row>
    <row r="69" spans="1:27" ht="16" x14ac:dyDescent="0.2">
      <c r="A69" s="46" t="s">
        <v>28</v>
      </c>
      <c r="B69" s="9">
        <v>2.2599999999999998</v>
      </c>
      <c r="C69" s="4">
        <f>B69*C67</f>
        <v>18.814499999999995</v>
      </c>
      <c r="D69" s="4">
        <v>2.5000000000000001E-3</v>
      </c>
      <c r="E69" s="14">
        <f>D69*E66</f>
        <v>0.23500000000000001</v>
      </c>
      <c r="F69" s="9">
        <f>E69/C69</f>
        <v>1.2490366472667361E-2</v>
      </c>
      <c r="G69" s="12">
        <f t="shared" si="31"/>
        <v>18.814499999999995</v>
      </c>
      <c r="H69" s="18"/>
      <c r="I69" s="51">
        <f t="shared" si="33"/>
        <v>3.0731333329152128E-3</v>
      </c>
      <c r="J69" s="36">
        <f t="shared" si="32"/>
        <v>1.3939486947436772</v>
      </c>
      <c r="K69" s="111" t="s">
        <v>28</v>
      </c>
      <c r="L69" s="112"/>
      <c r="M69" s="112"/>
      <c r="N69" s="112"/>
      <c r="O69">
        <f t="shared" si="34"/>
        <v>8.3636921684620624</v>
      </c>
      <c r="P69" s="89">
        <f t="shared" si="35"/>
        <v>3.1363845631732739</v>
      </c>
      <c r="Q69">
        <f t="shared" si="36"/>
        <v>6.2727691263465477</v>
      </c>
    </row>
    <row r="70" spans="1:27" ht="16" x14ac:dyDescent="0.2">
      <c r="A70" s="46" t="s">
        <v>29</v>
      </c>
      <c r="B70" s="9">
        <v>0.60870000000000002</v>
      </c>
      <c r="C70" s="4">
        <f>B70*C67</f>
        <v>5.0674275</v>
      </c>
      <c r="D70" s="4">
        <v>3.0000000000000001E-3</v>
      </c>
      <c r="E70" s="14">
        <f>D70*E66</f>
        <v>0.28200000000000003</v>
      </c>
      <c r="F70" s="9">
        <f>E70/C70</f>
        <v>5.5649538153234562E-2</v>
      </c>
      <c r="G70" s="2">
        <f t="shared" si="31"/>
        <v>5.0674275</v>
      </c>
      <c r="H70" s="18"/>
      <c r="I70" s="51">
        <f t="shared" si="33"/>
        <v>3.687759999498256E-3</v>
      </c>
      <c r="J70" s="36">
        <f t="shared" si="32"/>
        <v>1.6727384336924129</v>
      </c>
      <c r="K70" s="111" t="s">
        <v>29</v>
      </c>
      <c r="L70" s="112"/>
      <c r="M70" s="112"/>
      <c r="N70" s="112"/>
      <c r="O70">
        <f t="shared" si="34"/>
        <v>10.036430602154478</v>
      </c>
      <c r="P70" s="89">
        <f t="shared" si="35"/>
        <v>3.763661475807929</v>
      </c>
      <c r="Q70">
        <f t="shared" si="36"/>
        <v>7.527322951615858</v>
      </c>
    </row>
    <row r="71" spans="1:27" ht="16" x14ac:dyDescent="0.2">
      <c r="A71" s="46" t="s">
        <v>8</v>
      </c>
      <c r="B71" s="4">
        <v>2.5219999999999998</v>
      </c>
      <c r="C71" s="9">
        <f>B71*8.345404452</f>
        <v>21.047110027944001</v>
      </c>
      <c r="D71" s="4">
        <v>0.02</v>
      </c>
      <c r="E71" s="14">
        <f>E66*D71</f>
        <v>1.8800000000000001</v>
      </c>
      <c r="F71" s="9">
        <f>E71/C71</f>
        <v>8.932342718330194E-2</v>
      </c>
      <c r="G71" s="12">
        <f t="shared" si="31"/>
        <v>21.047110027944001</v>
      </c>
      <c r="H71" s="16" t="s">
        <v>9</v>
      </c>
      <c r="I71" s="51">
        <f t="shared" si="33"/>
        <v>2.4585066663321702E-2</v>
      </c>
      <c r="J71" s="36">
        <f t="shared" si="32"/>
        <v>11.151589557949418</v>
      </c>
      <c r="K71" s="111" t="s">
        <v>8</v>
      </c>
      <c r="L71" s="112"/>
      <c r="M71" s="112"/>
      <c r="N71" s="112"/>
      <c r="O71">
        <f t="shared" si="34"/>
        <v>66.909537347696499</v>
      </c>
      <c r="P71" s="89">
        <f t="shared" si="35"/>
        <v>25.091076505386191</v>
      </c>
      <c r="Q71">
        <f t="shared" si="36"/>
        <v>50.182153010772382</v>
      </c>
      <c r="S71" s="89"/>
    </row>
    <row r="72" spans="1:27" ht="16" x14ac:dyDescent="0.2">
      <c r="A72" s="46" t="s">
        <v>10</v>
      </c>
      <c r="B72" s="10">
        <f>C72*0.1198246</f>
        <v>1.9651234399999999</v>
      </c>
      <c r="C72" s="13">
        <v>16.399999999999999</v>
      </c>
      <c r="D72" s="9">
        <f>SUM(D66:D71)</f>
        <v>1.4097731307642976</v>
      </c>
      <c r="E72" s="15">
        <f>SUM(E66:E71)</f>
        <v>132.51867429184398</v>
      </c>
      <c r="F72" s="9">
        <f>E72/C72</f>
        <v>8.0804069690148772</v>
      </c>
      <c r="G72" s="2">
        <f t="shared" si="31"/>
        <v>16.399999999999999</v>
      </c>
      <c r="H72" s="17">
        <f>D67/(D66+D68+D69+D70+D71)</f>
        <v>0.37404788573518294</v>
      </c>
      <c r="I72" s="35">
        <f>E72/$E$72*$N$3*$C$72</f>
        <v>1.7329683199999999</v>
      </c>
      <c r="J72" s="37">
        <f t="shared" si="32"/>
        <v>786.06056620543995</v>
      </c>
      <c r="K72" s="111" t="s">
        <v>10</v>
      </c>
      <c r="L72" s="112"/>
      <c r="M72" s="112"/>
      <c r="N72" s="112"/>
      <c r="O72">
        <f t="shared" si="34"/>
        <v>4716.3633972326397</v>
      </c>
      <c r="P72" s="89">
        <f>2.25*J72</f>
        <v>1768.63627396224</v>
      </c>
      <c r="Q72">
        <f t="shared" si="36"/>
        <v>3537.27254792448</v>
      </c>
      <c r="T72" s="89"/>
    </row>
    <row r="73" spans="1:27" x14ac:dyDescent="0.2">
      <c r="I73" t="s">
        <v>39</v>
      </c>
      <c r="J73" s="86">
        <f>J72/B72</f>
        <v>400.00569440331952</v>
      </c>
      <c r="P73" s="89">
        <f>2.25*J73</f>
        <v>900.01281240746891</v>
      </c>
      <c r="Q73">
        <f t="shared" si="36"/>
        <v>1800.0256248149378</v>
      </c>
      <c r="U73" s="89"/>
      <c r="V73" s="89"/>
      <c r="W73" s="89"/>
      <c r="X73" s="89"/>
    </row>
    <row r="74" spans="1:27" x14ac:dyDescent="0.2">
      <c r="AA74" s="73"/>
    </row>
    <row r="75" spans="1:27" x14ac:dyDescent="0.2">
      <c r="A75" s="5" t="s">
        <v>27</v>
      </c>
      <c r="B75" s="1"/>
      <c r="D75" t="s">
        <v>0</v>
      </c>
      <c r="F75" s="8"/>
      <c r="G75" s="3"/>
      <c r="H75" s="1"/>
      <c r="AA75" s="73"/>
    </row>
    <row r="76" spans="1:27" ht="16" thickBot="1" x14ac:dyDescent="0.25">
      <c r="A76" s="3"/>
      <c r="B76" s="3"/>
      <c r="D76">
        <v>94</v>
      </c>
      <c r="AA76" s="73"/>
    </row>
    <row r="77" spans="1:27" ht="17" thickBot="1" x14ac:dyDescent="0.25">
      <c r="A77" s="62" t="s">
        <v>30</v>
      </c>
      <c r="B77" s="53" t="s">
        <v>1</v>
      </c>
      <c r="C77" s="53" t="s">
        <v>2</v>
      </c>
      <c r="D77" s="53" t="s">
        <v>3</v>
      </c>
      <c r="E77" s="54" t="s">
        <v>4</v>
      </c>
      <c r="F77" s="55" t="s">
        <v>11</v>
      </c>
      <c r="G77" s="56" t="s">
        <v>12</v>
      </c>
      <c r="H77" s="57" t="s">
        <v>5</v>
      </c>
      <c r="I77" s="58" t="s">
        <v>19</v>
      </c>
      <c r="J77" s="59" t="s">
        <v>20</v>
      </c>
      <c r="K77" s="101" t="s">
        <v>30</v>
      </c>
      <c r="L77" s="101"/>
      <c r="M77" s="101"/>
      <c r="N77" s="102"/>
      <c r="O77" t="s">
        <v>41</v>
      </c>
      <c r="P77">
        <v>2.25</v>
      </c>
    </row>
    <row r="78" spans="1:27" ht="16" x14ac:dyDescent="0.2">
      <c r="A78" s="63" t="s">
        <v>6</v>
      </c>
      <c r="B78" s="28">
        <v>3.14</v>
      </c>
      <c r="C78" s="47">
        <f>B78*8.345404452</f>
        <v>26.204569979280002</v>
      </c>
      <c r="D78" s="28">
        <v>1</v>
      </c>
      <c r="E78" s="48">
        <v>94</v>
      </c>
      <c r="F78" s="47">
        <f>E78/C78</f>
        <v>3.5871605629982084</v>
      </c>
      <c r="G78" s="49">
        <f t="shared" ref="G78:G84" si="37">E78/F78</f>
        <v>26.204569979280002</v>
      </c>
      <c r="H78" s="50">
        <f>E79/E78</f>
        <v>0.38384093955778442</v>
      </c>
      <c r="I78" s="51">
        <f>E78/$E$84*$N$3*$C$84</f>
        <v>1.2287584309531396</v>
      </c>
      <c r="J78" s="52">
        <f t="shared" ref="J78:J84" si="38">I78*453.592</f>
        <v>557.35499421289649</v>
      </c>
      <c r="K78" s="113" t="s">
        <v>6</v>
      </c>
      <c r="L78" s="114"/>
      <c r="M78" s="114"/>
      <c r="N78" s="114"/>
      <c r="O78">
        <f>6*J78</f>
        <v>3344.1299652773787</v>
      </c>
      <c r="P78" s="89">
        <f>2.25*J78</f>
        <v>1254.0487369790171</v>
      </c>
      <c r="S78" s="92"/>
      <c r="T78" s="92"/>
      <c r="Z78" s="89"/>
    </row>
    <row r="79" spans="1:27" ht="16" x14ac:dyDescent="0.2">
      <c r="A79" s="46" t="s">
        <v>7</v>
      </c>
      <c r="B79" s="4">
        <v>1</v>
      </c>
      <c r="C79" s="4">
        <v>8.3249999999999993</v>
      </c>
      <c r="D79" s="11">
        <f>E79/E78</f>
        <v>0.38384093955778442</v>
      </c>
      <c r="E79" s="15">
        <f>F79*C79</f>
        <v>36.081048318431733</v>
      </c>
      <c r="F79" s="9">
        <f>(94*(1-C84/C78)+94*((D80*(1-C84/C80)+D81*(1-C84/C81)+D82*(1-C84/C82)+(D83*(1-C84/C83)))))/(C84-C79)</f>
        <v>4.3340598580698781</v>
      </c>
      <c r="G79" s="2">
        <f t="shared" si="37"/>
        <v>8.3249999999999993</v>
      </c>
      <c r="H79" s="16" t="s">
        <v>2</v>
      </c>
      <c r="I79" s="51">
        <f t="shared" ref="I79:I83" si="39">E79/$E$84*$N$3*$C$84</f>
        <v>0.47164779062660206</v>
      </c>
      <c r="J79" s="36">
        <f t="shared" si="38"/>
        <v>213.93566464590168</v>
      </c>
      <c r="K79" s="111" t="s">
        <v>7</v>
      </c>
      <c r="L79" s="112"/>
      <c r="M79" s="112"/>
      <c r="N79" s="112"/>
      <c r="O79">
        <f t="shared" ref="O79:O84" si="40">6*J79</f>
        <v>1283.6139878754102</v>
      </c>
      <c r="P79" s="89">
        <f t="shared" ref="P79:P84" si="41">2.25*J79</f>
        <v>481.35524545327877</v>
      </c>
      <c r="Z79" s="89"/>
    </row>
    <row r="80" spans="1:27" ht="17" thickBot="1" x14ac:dyDescent="0.25">
      <c r="A80" s="46" t="s">
        <v>24</v>
      </c>
      <c r="B80" s="9">
        <v>2.2669999999999999</v>
      </c>
      <c r="C80" s="4">
        <f>B80*8.33</f>
        <v>18.88411</v>
      </c>
      <c r="D80" s="4">
        <v>1E-3</v>
      </c>
      <c r="E80" s="14">
        <f>E78*D80</f>
        <v>9.4E-2</v>
      </c>
      <c r="F80" s="9">
        <f>E80/C80</f>
        <v>4.977729953913634E-3</v>
      </c>
      <c r="G80" s="2">
        <f t="shared" si="37"/>
        <v>18.88411</v>
      </c>
      <c r="H80" s="18">
        <f>G84</f>
        <v>16.399999999999999</v>
      </c>
      <c r="I80" s="51">
        <f t="shared" si="39"/>
        <v>1.2287584309531396E-3</v>
      </c>
      <c r="J80" s="60">
        <f t="shared" si="38"/>
        <v>0.55735499421289647</v>
      </c>
      <c r="K80" s="111" t="s">
        <v>24</v>
      </c>
      <c r="L80" s="112"/>
      <c r="M80" s="112"/>
      <c r="N80" s="112"/>
      <c r="O80">
        <f t="shared" si="40"/>
        <v>3.3441299652773786</v>
      </c>
      <c r="P80" s="89">
        <f t="shared" si="41"/>
        <v>1.254048736979017</v>
      </c>
      <c r="Z80" s="89"/>
    </row>
    <row r="81" spans="1:26" ht="17" thickBot="1" x14ac:dyDescent="0.25">
      <c r="A81" s="46" t="s">
        <v>28</v>
      </c>
      <c r="B81" s="9">
        <v>2.2599999999999998</v>
      </c>
      <c r="C81" s="4">
        <f>B81*C79</f>
        <v>18.814499999999995</v>
      </c>
      <c r="D81" s="4">
        <v>2.5000000000000001E-3</v>
      </c>
      <c r="E81" s="14">
        <f>D81*E78</f>
        <v>0.23500000000000001</v>
      </c>
      <c r="F81" s="9">
        <f>E81/C81</f>
        <v>1.2490366472667361E-2</v>
      </c>
      <c r="G81" s="12">
        <f t="shared" si="37"/>
        <v>18.814499999999995</v>
      </c>
      <c r="H81" s="18"/>
      <c r="I81" s="51">
        <f t="shared" si="39"/>
        <v>3.071896077382849E-3</v>
      </c>
      <c r="J81" s="61">
        <f t="shared" si="38"/>
        <v>1.3933874855322412</v>
      </c>
      <c r="K81" s="111" t="s">
        <v>28</v>
      </c>
      <c r="L81" s="112"/>
      <c r="M81" s="112"/>
      <c r="N81" s="112"/>
      <c r="O81">
        <f t="shared" si="40"/>
        <v>8.3603249131934483</v>
      </c>
      <c r="P81" s="89">
        <f t="shared" si="41"/>
        <v>3.1351218424475427</v>
      </c>
      <c r="Z81" s="89"/>
    </row>
    <row r="82" spans="1:26" ht="16" x14ac:dyDescent="0.2">
      <c r="A82" s="46" t="s">
        <v>29</v>
      </c>
      <c r="B82" s="9">
        <v>0.60870000000000002</v>
      </c>
      <c r="C82" s="4">
        <f>B82*C79</f>
        <v>5.0674275</v>
      </c>
      <c r="D82" s="4">
        <v>3.0000000000000001E-3</v>
      </c>
      <c r="E82" s="14">
        <f>D82*E78</f>
        <v>0.28200000000000003</v>
      </c>
      <c r="F82" s="9">
        <f>E82/C82</f>
        <v>5.5649538153234562E-2</v>
      </c>
      <c r="G82" s="2">
        <f t="shared" si="37"/>
        <v>5.0674275</v>
      </c>
      <c r="H82" s="18"/>
      <c r="I82" s="51">
        <f t="shared" si="39"/>
        <v>3.6862752928594191E-3</v>
      </c>
      <c r="J82" s="52">
        <f t="shared" si="38"/>
        <v>1.6720649826386895</v>
      </c>
      <c r="K82" s="111" t="s">
        <v>29</v>
      </c>
      <c r="L82" s="112"/>
      <c r="M82" s="112"/>
      <c r="N82" s="112"/>
      <c r="O82">
        <f t="shared" si="40"/>
        <v>10.032389895832138</v>
      </c>
      <c r="P82" s="89">
        <f t="shared" si="41"/>
        <v>3.7621462109370514</v>
      </c>
      <c r="Z82" s="89"/>
    </row>
    <row r="83" spans="1:26" ht="16" x14ac:dyDescent="0.2">
      <c r="A83" s="46" t="s">
        <v>8</v>
      </c>
      <c r="B83" s="4">
        <v>2.5219999999999998</v>
      </c>
      <c r="C83" s="9">
        <f>B83*8.345404452</f>
        <v>21.047110027944001</v>
      </c>
      <c r="D83" s="4">
        <v>0.02</v>
      </c>
      <c r="E83" s="14">
        <f>E78*D83</f>
        <v>1.8800000000000001</v>
      </c>
      <c r="F83" s="9">
        <f>E83/C83</f>
        <v>8.932342718330194E-2</v>
      </c>
      <c r="G83" s="12">
        <f t="shared" si="37"/>
        <v>21.047110027944001</v>
      </c>
      <c r="H83" s="16" t="s">
        <v>9</v>
      </c>
      <c r="I83" s="51">
        <f t="shared" si="39"/>
        <v>2.4575168619062792E-2</v>
      </c>
      <c r="J83" s="36">
        <f t="shared" si="38"/>
        <v>11.14709988425793</v>
      </c>
      <c r="K83" s="111" t="s">
        <v>8</v>
      </c>
      <c r="L83" s="112"/>
      <c r="M83" s="112"/>
      <c r="N83" s="112"/>
      <c r="O83">
        <f t="shared" si="40"/>
        <v>66.882599305547586</v>
      </c>
      <c r="P83" s="89">
        <f t="shared" si="41"/>
        <v>25.080974739580341</v>
      </c>
      <c r="Z83" s="89"/>
    </row>
    <row r="84" spans="1:26" ht="16" x14ac:dyDescent="0.2">
      <c r="A84" s="46" t="s">
        <v>10</v>
      </c>
      <c r="B84" s="10">
        <f>C84*0.1198246</f>
        <v>1.9651234399999999</v>
      </c>
      <c r="C84" s="13">
        <v>16.399999999999999</v>
      </c>
      <c r="D84" s="9">
        <f>SUM(D78:D83)</f>
        <v>1.4103409395577842</v>
      </c>
      <c r="E84" s="15">
        <f>SUM(E78:E83)</f>
        <v>132.57204831843174</v>
      </c>
      <c r="F84" s="9">
        <f>E84/C84</f>
        <v>8.0836614828312037</v>
      </c>
      <c r="G84" s="2">
        <f t="shared" si="37"/>
        <v>16.399999999999999</v>
      </c>
      <c r="H84" s="17">
        <f>D79/(D78+D80+D81+D82+D83)</f>
        <v>0.37393174822969755</v>
      </c>
      <c r="I84" s="35">
        <f>E84/$E$84*$N$3*$C$84</f>
        <v>1.7329683199999999</v>
      </c>
      <c r="J84" s="37">
        <f t="shared" si="38"/>
        <v>786.06056620543995</v>
      </c>
      <c r="K84" s="111" t="s">
        <v>10</v>
      </c>
      <c r="L84" s="112"/>
      <c r="M84" s="112"/>
      <c r="N84" s="112"/>
      <c r="O84">
        <f t="shared" si="40"/>
        <v>4716.3633972326397</v>
      </c>
      <c r="P84" s="89">
        <f t="shared" si="41"/>
        <v>1768.63627396224</v>
      </c>
      <c r="Z84" s="89"/>
    </row>
    <row r="85" spans="1:26" x14ac:dyDescent="0.2">
      <c r="Z85" s="89"/>
    </row>
    <row r="87" spans="1:26" x14ac:dyDescent="0.2">
      <c r="F87"/>
    </row>
    <row r="88" spans="1:26" x14ac:dyDescent="0.2">
      <c r="F88"/>
    </row>
    <row r="89" spans="1:26" x14ac:dyDescent="0.2">
      <c r="F89"/>
      <c r="K89" s="121"/>
      <c r="L89" s="121"/>
      <c r="M89" s="121"/>
      <c r="N89" s="121"/>
    </row>
    <row r="90" spans="1:26" x14ac:dyDescent="0.2">
      <c r="F90"/>
      <c r="K90" s="121"/>
      <c r="L90" s="121"/>
      <c r="M90" s="121"/>
      <c r="N90" s="121"/>
    </row>
    <row r="91" spans="1:26" x14ac:dyDescent="0.2">
      <c r="F91"/>
      <c r="K91" s="121"/>
      <c r="L91" s="121"/>
      <c r="M91" s="121"/>
      <c r="N91" s="121"/>
    </row>
    <row r="92" spans="1:26" x14ac:dyDescent="0.2">
      <c r="F92"/>
      <c r="K92" s="121"/>
      <c r="L92" s="121"/>
      <c r="M92" s="121"/>
      <c r="N92" s="121"/>
    </row>
    <row r="93" spans="1:26" x14ac:dyDescent="0.2">
      <c r="F93"/>
      <c r="K93" s="121"/>
      <c r="L93" s="121"/>
      <c r="M93" s="121"/>
      <c r="N93" s="121"/>
    </row>
    <row r="94" spans="1:26" x14ac:dyDescent="0.2">
      <c r="F94"/>
      <c r="K94" s="121"/>
      <c r="L94" s="121"/>
      <c r="M94" s="121"/>
      <c r="N94" s="121"/>
    </row>
    <row r="95" spans="1:26" x14ac:dyDescent="0.2">
      <c r="F95"/>
      <c r="K95" s="121"/>
      <c r="L95" s="121"/>
      <c r="M95" s="121"/>
      <c r="N95" s="121"/>
    </row>
    <row r="96" spans="1:26" x14ac:dyDescent="0.2">
      <c r="F96"/>
      <c r="K96" s="121"/>
      <c r="L96" s="121"/>
      <c r="M96" s="121"/>
      <c r="N96" s="121"/>
    </row>
    <row r="97" spans="2:14" x14ac:dyDescent="0.2">
      <c r="B97" s="122"/>
      <c r="F97"/>
      <c r="K97" s="121"/>
      <c r="L97" s="121"/>
      <c r="M97" s="121"/>
      <c r="N97" s="121"/>
    </row>
    <row r="98" spans="2:14" x14ac:dyDescent="0.2">
      <c r="F98"/>
    </row>
    <row r="99" spans="2:14" x14ac:dyDescent="0.2">
      <c r="F99"/>
    </row>
  </sheetData>
  <mergeCells count="116">
    <mergeCell ref="O59:P59"/>
    <mergeCell ref="Q59:R59"/>
    <mergeCell ref="O60:P60"/>
    <mergeCell ref="Q60:R60"/>
    <mergeCell ref="O61:P61"/>
    <mergeCell ref="Q61:R61"/>
    <mergeCell ref="O56:P56"/>
    <mergeCell ref="Q56:R56"/>
    <mergeCell ref="O57:P57"/>
    <mergeCell ref="Q57:R57"/>
    <mergeCell ref="O58:P58"/>
    <mergeCell ref="Q58:R58"/>
    <mergeCell ref="O53:P53"/>
    <mergeCell ref="Q53:R53"/>
    <mergeCell ref="O54:P54"/>
    <mergeCell ref="Q54:R54"/>
    <mergeCell ref="O55:P55"/>
    <mergeCell ref="Q55:R55"/>
    <mergeCell ref="O17:P17"/>
    <mergeCell ref="O18:P18"/>
    <mergeCell ref="O19:P19"/>
    <mergeCell ref="O20:P20"/>
    <mergeCell ref="O21:P21"/>
    <mergeCell ref="O41:P41"/>
    <mergeCell ref="Q41:R41"/>
    <mergeCell ref="O42:P42"/>
    <mergeCell ref="Q42:R42"/>
    <mergeCell ref="O43:P43"/>
    <mergeCell ref="Q43:R43"/>
    <mergeCell ref="O44:P44"/>
    <mergeCell ref="Q44:R44"/>
    <mergeCell ref="O45:P45"/>
    <mergeCell ref="Q45:R45"/>
    <mergeCell ref="O46:P46"/>
    <mergeCell ref="Q46:R46"/>
    <mergeCell ref="O47:P47"/>
    <mergeCell ref="K81:N81"/>
    <mergeCell ref="K82:N82"/>
    <mergeCell ref="K83:N83"/>
    <mergeCell ref="K84:N84"/>
    <mergeCell ref="K89:N89"/>
    <mergeCell ref="K95:N95"/>
    <mergeCell ref="K97:N97"/>
    <mergeCell ref="K90:N90"/>
    <mergeCell ref="K91:N91"/>
    <mergeCell ref="K92:N92"/>
    <mergeCell ref="K93:N93"/>
    <mergeCell ref="K94:N94"/>
    <mergeCell ref="K96:N96"/>
    <mergeCell ref="K78:N78"/>
    <mergeCell ref="K79:N79"/>
    <mergeCell ref="K80:N80"/>
    <mergeCell ref="K67:N67"/>
    <mergeCell ref="K68:N68"/>
    <mergeCell ref="K69:N69"/>
    <mergeCell ref="K70:N70"/>
    <mergeCell ref="K71:N71"/>
    <mergeCell ref="K72:N72"/>
    <mergeCell ref="K77:N77"/>
    <mergeCell ref="K58:N58"/>
    <mergeCell ref="K59:N59"/>
    <mergeCell ref="K60:N60"/>
    <mergeCell ref="K65:N65"/>
    <mergeCell ref="K66:N66"/>
    <mergeCell ref="K53:N53"/>
    <mergeCell ref="K54:N54"/>
    <mergeCell ref="K55:N55"/>
    <mergeCell ref="K56:N56"/>
    <mergeCell ref="K57:N57"/>
    <mergeCell ref="K17:N17"/>
    <mergeCell ref="K30:N30"/>
    <mergeCell ref="K31:N31"/>
    <mergeCell ref="K32:N32"/>
    <mergeCell ref="K33:N33"/>
    <mergeCell ref="K34:N34"/>
    <mergeCell ref="K35:N35"/>
    <mergeCell ref="K36:N36"/>
    <mergeCell ref="K23:N23"/>
    <mergeCell ref="K24:N24"/>
    <mergeCell ref="K18:N18"/>
    <mergeCell ref="K19:N19"/>
    <mergeCell ref="K22:N22"/>
    <mergeCell ref="O23:P23"/>
    <mergeCell ref="O24:P24"/>
    <mergeCell ref="K44:N44"/>
    <mergeCell ref="K45:N45"/>
    <mergeCell ref="K46:N46"/>
    <mergeCell ref="K47:N47"/>
    <mergeCell ref="K48:N48"/>
    <mergeCell ref="K41:N41"/>
    <mergeCell ref="K42:N42"/>
    <mergeCell ref="K43:N43"/>
    <mergeCell ref="S78:T78"/>
    <mergeCell ref="Q47:R47"/>
    <mergeCell ref="O48:P48"/>
    <mergeCell ref="Q48:R48"/>
    <mergeCell ref="O49:P49"/>
    <mergeCell ref="Q49:R49"/>
    <mergeCell ref="A1:C1"/>
    <mergeCell ref="A3:E3"/>
    <mergeCell ref="A14:C14"/>
    <mergeCell ref="K29:N29"/>
    <mergeCell ref="K2:N2"/>
    <mergeCell ref="K20:N20"/>
    <mergeCell ref="K21:N21"/>
    <mergeCell ref="Q17:R17"/>
    <mergeCell ref="Q18:R18"/>
    <mergeCell ref="Q19:R19"/>
    <mergeCell ref="Q20:R20"/>
    <mergeCell ref="Q21:R21"/>
    <mergeCell ref="Q22:R22"/>
    <mergeCell ref="Q23:R23"/>
    <mergeCell ref="Q24:R24"/>
    <mergeCell ref="O25:P25"/>
    <mergeCell ref="Q25:R25"/>
    <mergeCell ref="O22:P22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16.4ppg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2022-12-16T22:16:59Z</dcterms:modified>
</cp:coreProperties>
</file>